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27"/>
  <workbookPr defaultThemeVersion="124226"/>
  <mc:AlternateContent xmlns:mc="http://schemas.openxmlformats.org/markup-compatibility/2006">
    <mc:Choice Requires="x15">
      <x15ac:absPath xmlns:x15ac="http://schemas.microsoft.com/office/spreadsheetml/2010/11/ac" url="C:\Users\Belinda\Documents\Emmaus\Emmaus Board\Team\Walk_LDForms\"/>
    </mc:Choice>
  </mc:AlternateContent>
  <xr:revisionPtr revIDLastSave="0" documentId="13_ncr:1_{14CF004B-4837-4A1F-8AAA-38475EBD1A17}" xr6:coauthVersionLast="47" xr6:coauthVersionMax="47" xr10:uidLastSave="{00000000-0000-0000-0000-000000000000}"/>
  <bookViews>
    <workbookView xWindow="-108" yWindow="-108" windowWidth="20376" windowHeight="12216" tabRatio="933" xr2:uid="{00000000-000D-0000-FFFF-FFFF00000000}"/>
  </bookViews>
  <sheets>
    <sheet name="Instructions" sheetId="10" r:id="rId1"/>
    <sheet name="TeamInfo" sheetId="2" r:id="rId2"/>
    <sheet name="Previews" sheetId="18" r:id="rId3"/>
    <sheet name="Schedule" sheetId="1" r:id="rId4"/>
    <sheet name="PrayerPartners" sheetId="12" r:id="rId5"/>
    <sheet name="ArrearsMtg" sheetId="9" r:id="rId6"/>
    <sheet name="Attendance" sheetId="11" r:id="rId7"/>
    <sheet name="Prt-Roster" sheetId="20" r:id="rId8"/>
    <sheet name="Prt-Privacy" sheetId="21" r:id="rId9"/>
    <sheet name="Prt-Emergency" sheetId="22" r:id="rId10"/>
    <sheet name="Prep-Mtg#1" sheetId="23" r:id="rId11"/>
    <sheet name="Mtg#1" sheetId="3" r:id="rId12"/>
    <sheet name="Prep-Mtg#2" sheetId="24" r:id="rId13"/>
    <sheet name="Mtg#2" sheetId="8" r:id="rId14"/>
    <sheet name="Prep-Mtg#3" sheetId="25" r:id="rId15"/>
    <sheet name="Mtg#3" sheetId="7" r:id="rId16"/>
    <sheet name="Prep-Mtg#4" sheetId="26" r:id="rId17"/>
    <sheet name="Mtg#4" sheetId="6" r:id="rId18"/>
    <sheet name="Prep-Mtg#5" sheetId="27" r:id="rId19"/>
    <sheet name="Mtg#5" sheetId="5" r:id="rId20"/>
    <sheet name="Prep-Mtg#6" sheetId="28" r:id="rId21"/>
    <sheet name="Mtg#6" sheetId="4" r:id="rId22"/>
    <sheet name="Prep-SatMtg" sheetId="29" r:id="rId23"/>
    <sheet name="SatMtg" sheetId="17" r:id="rId24"/>
    <sheet name="TeamManualInfo" sheetId="19" state="hidden" r:id="rId25"/>
  </sheets>
  <definedNames>
    <definedName name="OLE_LINK1" localSheetId="11">'Mtg#1'!$A$28</definedName>
    <definedName name="_xlnm.Print_Area" localSheetId="6">Attendance!$A$1:$H$25</definedName>
    <definedName name="_xlnm.Print_Area" localSheetId="11">'Mtg#1'!$A$1:$E$88</definedName>
    <definedName name="_xlnm.Print_Area" localSheetId="13">'Mtg#2'!$A$1:$E$74</definedName>
    <definedName name="_xlnm.Print_Area" localSheetId="15">'Mtg#3'!$A$1:$E$76</definedName>
    <definedName name="_xlnm.Print_Area" localSheetId="17">'Mtg#4'!$A$1:$E$74</definedName>
    <definedName name="_xlnm.Print_Area" localSheetId="19">'Mtg#5'!$A$1:$E$75</definedName>
    <definedName name="_xlnm.Print_Area" localSheetId="21">'Mtg#6'!$A$1:$E$73</definedName>
    <definedName name="_xlnm.Print_Area" localSheetId="10">'Prep-Mtg#1'!$A$1:$E$15</definedName>
    <definedName name="_xlnm.Print_Area" localSheetId="12">'Prep-Mtg#2'!$A$1:$E$15</definedName>
    <definedName name="_xlnm.Print_Area" localSheetId="8">'Prt-Privacy'!$A$1:$C$163</definedName>
    <definedName name="_xlnm.Print_Area" localSheetId="7">'Prt-Roster'!$D$2:$L$30</definedName>
    <definedName name="_xlnm.Print_Area" localSheetId="23">SatMtg!$A$1:$E$63</definedName>
    <definedName name="_xlnm.Print_Titles" localSheetId="8">'Prt-Privacy'!$1:$1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8" i="23" l="1"/>
  <c r="D8" i="23"/>
  <c r="D2" i="20"/>
  <c r="A1" i="22" l="1"/>
  <c r="O30" i="20"/>
  <c r="N30" i="20"/>
  <c r="M30" i="20"/>
  <c r="L30" i="20"/>
  <c r="K30" i="20"/>
  <c r="J30" i="20"/>
  <c r="I30" i="20"/>
  <c r="H30" i="20"/>
  <c r="G30" i="20"/>
  <c r="E30" i="20"/>
  <c r="D30" i="20"/>
  <c r="C30" i="20"/>
  <c r="B30" i="20"/>
  <c r="F30" i="20" s="1"/>
  <c r="A30" i="20"/>
  <c r="O29" i="20"/>
  <c r="N29" i="20"/>
  <c r="M29" i="20"/>
  <c r="L29" i="20"/>
  <c r="K29" i="20"/>
  <c r="J29" i="20"/>
  <c r="I29" i="20"/>
  <c r="H29" i="20"/>
  <c r="G29" i="20"/>
  <c r="E29" i="20"/>
  <c r="D29" i="20"/>
  <c r="C29" i="20"/>
  <c r="B29" i="20"/>
  <c r="F29" i="20" s="1"/>
  <c r="A29" i="20"/>
  <c r="O28" i="20"/>
  <c r="N28" i="20"/>
  <c r="M28" i="20"/>
  <c r="L28" i="20"/>
  <c r="K28" i="20"/>
  <c r="J28" i="20"/>
  <c r="I28" i="20"/>
  <c r="H28" i="20"/>
  <c r="G28" i="20"/>
  <c r="E28" i="20"/>
  <c r="D28" i="20"/>
  <c r="C28" i="20"/>
  <c r="B28" i="20"/>
  <c r="F28" i="20" s="1"/>
  <c r="A28" i="20"/>
  <c r="O27" i="20"/>
  <c r="N27" i="20"/>
  <c r="M27" i="20"/>
  <c r="L27" i="20"/>
  <c r="K27" i="20"/>
  <c r="J27" i="20"/>
  <c r="I27" i="20"/>
  <c r="H27" i="20"/>
  <c r="G27" i="20"/>
  <c r="E27" i="20"/>
  <c r="D27" i="20"/>
  <c r="C27" i="20"/>
  <c r="B27" i="20"/>
  <c r="F27" i="20" s="1"/>
  <c r="A27" i="20"/>
  <c r="O26" i="20"/>
  <c r="N26" i="20"/>
  <c r="M26" i="20"/>
  <c r="L26" i="20"/>
  <c r="K26" i="20"/>
  <c r="J26" i="20"/>
  <c r="I26" i="20"/>
  <c r="H26" i="20"/>
  <c r="G26" i="20"/>
  <c r="E26" i="20"/>
  <c r="D26" i="20"/>
  <c r="C26" i="20"/>
  <c r="B26" i="20"/>
  <c r="F26" i="20" s="1"/>
  <c r="A26" i="20"/>
  <c r="O25" i="20"/>
  <c r="N25" i="20"/>
  <c r="M25" i="20"/>
  <c r="L25" i="20"/>
  <c r="K25" i="20"/>
  <c r="J25" i="20"/>
  <c r="I25" i="20"/>
  <c r="H25" i="20"/>
  <c r="G25" i="20"/>
  <c r="E25" i="20"/>
  <c r="D25" i="20"/>
  <c r="C25" i="20"/>
  <c r="B25" i="20"/>
  <c r="F25" i="20" s="1"/>
  <c r="A25" i="20"/>
  <c r="O24" i="20"/>
  <c r="N24" i="20"/>
  <c r="M24" i="20"/>
  <c r="L24" i="20"/>
  <c r="K24" i="20"/>
  <c r="J24" i="20"/>
  <c r="I24" i="20"/>
  <c r="H24" i="20"/>
  <c r="G24" i="20"/>
  <c r="E24" i="20"/>
  <c r="D24" i="20"/>
  <c r="C24" i="20"/>
  <c r="B24" i="20"/>
  <c r="F24" i="20" s="1"/>
  <c r="A24" i="20"/>
  <c r="O23" i="20"/>
  <c r="N23" i="20"/>
  <c r="M23" i="20"/>
  <c r="L23" i="20"/>
  <c r="K23" i="20"/>
  <c r="J23" i="20"/>
  <c r="I23" i="20"/>
  <c r="H23" i="20"/>
  <c r="G23" i="20"/>
  <c r="E23" i="20"/>
  <c r="D23" i="20"/>
  <c r="C23" i="20"/>
  <c r="B23" i="20"/>
  <c r="F23" i="20" s="1"/>
  <c r="A23" i="20"/>
  <c r="O22" i="20"/>
  <c r="N22" i="20"/>
  <c r="M22" i="20"/>
  <c r="L22" i="20"/>
  <c r="K22" i="20"/>
  <c r="J22" i="20"/>
  <c r="I22" i="20"/>
  <c r="H22" i="20"/>
  <c r="G22" i="20"/>
  <c r="E22" i="20"/>
  <c r="D22" i="20"/>
  <c r="C22" i="20"/>
  <c r="B22" i="20"/>
  <c r="F22" i="20" s="1"/>
  <c r="A22" i="20"/>
  <c r="O21" i="20"/>
  <c r="N21" i="20"/>
  <c r="M21" i="20"/>
  <c r="L21" i="20"/>
  <c r="K21" i="20"/>
  <c r="J21" i="20"/>
  <c r="I21" i="20"/>
  <c r="H21" i="20"/>
  <c r="G21" i="20"/>
  <c r="E21" i="20"/>
  <c r="D21" i="20"/>
  <c r="C21" i="20"/>
  <c r="B21" i="20"/>
  <c r="F21" i="20" s="1"/>
  <c r="A21" i="20"/>
  <c r="O20" i="20"/>
  <c r="N20" i="20"/>
  <c r="M20" i="20"/>
  <c r="L20" i="20"/>
  <c r="K20" i="20"/>
  <c r="J20" i="20"/>
  <c r="I20" i="20"/>
  <c r="H20" i="20"/>
  <c r="G20" i="20"/>
  <c r="E20" i="20"/>
  <c r="D20" i="20"/>
  <c r="C20" i="20"/>
  <c r="B20" i="20"/>
  <c r="F20" i="20" s="1"/>
  <c r="A20" i="20"/>
  <c r="O19" i="20"/>
  <c r="N19" i="20"/>
  <c r="M19" i="20"/>
  <c r="L19" i="20"/>
  <c r="K19" i="20"/>
  <c r="J19" i="20"/>
  <c r="I19" i="20"/>
  <c r="H19" i="20"/>
  <c r="G19" i="20"/>
  <c r="E19" i="20"/>
  <c r="D19" i="20"/>
  <c r="C19" i="20"/>
  <c r="B19" i="20"/>
  <c r="F19" i="20" s="1"/>
  <c r="A19" i="20"/>
  <c r="O18" i="20"/>
  <c r="N18" i="20"/>
  <c r="M18" i="20"/>
  <c r="L18" i="20"/>
  <c r="K18" i="20"/>
  <c r="J18" i="20"/>
  <c r="I18" i="20"/>
  <c r="H18" i="20"/>
  <c r="G18" i="20"/>
  <c r="E18" i="20"/>
  <c r="D18" i="20"/>
  <c r="C18" i="20"/>
  <c r="B18" i="20"/>
  <c r="F18" i="20" s="1"/>
  <c r="A18" i="20"/>
  <c r="O17" i="20"/>
  <c r="N17" i="20"/>
  <c r="M17" i="20"/>
  <c r="L17" i="20"/>
  <c r="K17" i="20"/>
  <c r="J17" i="20"/>
  <c r="I17" i="20"/>
  <c r="H17" i="20"/>
  <c r="G17" i="20"/>
  <c r="E17" i="20"/>
  <c r="D17" i="20"/>
  <c r="C17" i="20"/>
  <c r="B17" i="20"/>
  <c r="F17" i="20" s="1"/>
  <c r="A17" i="20"/>
  <c r="O16" i="20"/>
  <c r="N16" i="20"/>
  <c r="M16" i="20"/>
  <c r="L16" i="20"/>
  <c r="K16" i="20"/>
  <c r="J16" i="20"/>
  <c r="I16" i="20"/>
  <c r="H16" i="20"/>
  <c r="G16" i="20"/>
  <c r="E16" i="20"/>
  <c r="D16" i="20"/>
  <c r="C16" i="20"/>
  <c r="B16" i="20"/>
  <c r="F16" i="20" s="1"/>
  <c r="A16" i="20"/>
  <c r="O15" i="20"/>
  <c r="N15" i="20"/>
  <c r="M15" i="20"/>
  <c r="L15" i="20"/>
  <c r="K15" i="20"/>
  <c r="J15" i="20"/>
  <c r="I15" i="20"/>
  <c r="H15" i="20"/>
  <c r="G15" i="20"/>
  <c r="E15" i="20"/>
  <c r="D15" i="20"/>
  <c r="C15" i="20"/>
  <c r="B15" i="20"/>
  <c r="F15" i="20" s="1"/>
  <c r="A15" i="20"/>
  <c r="O14" i="20"/>
  <c r="N14" i="20"/>
  <c r="M14" i="20"/>
  <c r="L14" i="20"/>
  <c r="K14" i="20"/>
  <c r="J14" i="20"/>
  <c r="I14" i="20"/>
  <c r="H14" i="20"/>
  <c r="G14" i="20"/>
  <c r="E14" i="20"/>
  <c r="D14" i="20"/>
  <c r="C14" i="20"/>
  <c r="B14" i="20"/>
  <c r="F14" i="20" s="1"/>
  <c r="A14" i="20"/>
  <c r="O13" i="20"/>
  <c r="N13" i="20"/>
  <c r="M13" i="20"/>
  <c r="L13" i="20"/>
  <c r="K13" i="20"/>
  <c r="J13" i="20"/>
  <c r="I13" i="20"/>
  <c r="H13" i="20"/>
  <c r="G13" i="20"/>
  <c r="E13" i="20"/>
  <c r="D13" i="20"/>
  <c r="C13" i="20"/>
  <c r="B13" i="20"/>
  <c r="F13" i="20" s="1"/>
  <c r="A13" i="20"/>
  <c r="O12" i="20"/>
  <c r="N12" i="20"/>
  <c r="M12" i="20"/>
  <c r="L12" i="20"/>
  <c r="K12" i="20"/>
  <c r="J12" i="20"/>
  <c r="I12" i="20"/>
  <c r="H12" i="20"/>
  <c r="G12" i="20"/>
  <c r="E12" i="20"/>
  <c r="D12" i="20"/>
  <c r="C12" i="20"/>
  <c r="B12" i="20"/>
  <c r="F12" i="20" s="1"/>
  <c r="A12" i="20"/>
  <c r="O11" i="20"/>
  <c r="N11" i="20"/>
  <c r="M11" i="20"/>
  <c r="L11" i="20"/>
  <c r="K11" i="20"/>
  <c r="J11" i="20"/>
  <c r="I11" i="20"/>
  <c r="H11" i="20"/>
  <c r="G11" i="20"/>
  <c r="E11" i="20"/>
  <c r="D11" i="20"/>
  <c r="C11" i="20"/>
  <c r="B11" i="20"/>
  <c r="F11" i="20" s="1"/>
  <c r="A11" i="20"/>
  <c r="O10" i="20"/>
  <c r="N10" i="20"/>
  <c r="M10" i="20"/>
  <c r="L10" i="20"/>
  <c r="K10" i="20"/>
  <c r="J10" i="20"/>
  <c r="I10" i="20"/>
  <c r="H10" i="20"/>
  <c r="G10" i="20"/>
  <c r="E10" i="20"/>
  <c r="D10" i="20"/>
  <c r="C10" i="20"/>
  <c r="B10" i="20"/>
  <c r="F10" i="20" s="1"/>
  <c r="A10" i="20"/>
  <c r="O9" i="20"/>
  <c r="N9" i="20"/>
  <c r="M9" i="20"/>
  <c r="L9" i="20"/>
  <c r="K9" i="20"/>
  <c r="J9" i="20"/>
  <c r="I9" i="20"/>
  <c r="H9" i="20"/>
  <c r="G9" i="20"/>
  <c r="E9" i="20"/>
  <c r="D9" i="20"/>
  <c r="C9" i="20"/>
  <c r="B9" i="20"/>
  <c r="F9" i="20" s="1"/>
  <c r="A9" i="20"/>
  <c r="O8" i="20"/>
  <c r="N8" i="20"/>
  <c r="M8" i="20"/>
  <c r="L8" i="20"/>
  <c r="K8" i="20"/>
  <c r="J8" i="20"/>
  <c r="I8" i="20"/>
  <c r="H8" i="20"/>
  <c r="G8" i="20"/>
  <c r="E8" i="20"/>
  <c r="D8" i="20"/>
  <c r="C8" i="20"/>
  <c r="B8" i="20"/>
  <c r="F8" i="20" s="1"/>
  <c r="A8" i="20"/>
  <c r="O7" i="20"/>
  <c r="N7" i="20"/>
  <c r="M7" i="20"/>
  <c r="L7" i="20"/>
  <c r="K7" i="20"/>
  <c r="J7" i="20"/>
  <c r="I7" i="20"/>
  <c r="H7" i="20"/>
  <c r="G7" i="20"/>
  <c r="E7" i="20"/>
  <c r="D7" i="20"/>
  <c r="C7" i="20"/>
  <c r="B7" i="20"/>
  <c r="F7" i="20" s="1"/>
  <c r="A7" i="20"/>
  <c r="O6" i="20"/>
  <c r="N6" i="20"/>
  <c r="M6" i="20"/>
  <c r="L6" i="20"/>
  <c r="K6" i="20"/>
  <c r="J6" i="20"/>
  <c r="I6" i="20"/>
  <c r="H6" i="20"/>
  <c r="G6" i="20"/>
  <c r="E6" i="20"/>
  <c r="D6" i="20"/>
  <c r="C6" i="20"/>
  <c r="B6" i="20"/>
  <c r="F6" i="20" s="1"/>
  <c r="A6" i="20"/>
  <c r="O5" i="20"/>
  <c r="N5" i="20"/>
  <c r="M5" i="20"/>
  <c r="L5" i="20"/>
  <c r="K5" i="20"/>
  <c r="J5" i="20"/>
  <c r="I5" i="20"/>
  <c r="H5" i="20"/>
  <c r="G5" i="20"/>
  <c r="E5" i="20"/>
  <c r="D5" i="20"/>
  <c r="C5" i="20"/>
  <c r="B5" i="20"/>
  <c r="F5" i="20" s="1"/>
  <c r="A5" i="20"/>
  <c r="O4" i="20"/>
  <c r="N4" i="20"/>
  <c r="M4" i="20"/>
  <c r="L4" i="20"/>
  <c r="K4" i="20"/>
  <c r="J4" i="20"/>
  <c r="I4" i="20"/>
  <c r="H4" i="20"/>
  <c r="G4" i="20"/>
  <c r="E4" i="20"/>
  <c r="D4" i="20"/>
  <c r="C4" i="20"/>
  <c r="B4" i="20"/>
  <c r="F4" i="20" s="1"/>
  <c r="A4" i="20"/>
  <c r="D13" i="29"/>
  <c r="B13" i="29"/>
  <c r="B11" i="29"/>
  <c r="A11" i="29"/>
  <c r="E10" i="29"/>
  <c r="D10" i="29"/>
  <c r="B10" i="29"/>
  <c r="A10" i="29"/>
  <c r="E9" i="29"/>
  <c r="D9" i="29"/>
  <c r="B9" i="29"/>
  <c r="A9" i="29"/>
  <c r="B6" i="29"/>
  <c r="B5" i="29"/>
  <c r="B5" i="17"/>
  <c r="D2" i="29"/>
  <c r="D7" i="29"/>
  <c r="B7" i="29"/>
  <c r="A1" i="29"/>
  <c r="D33" i="1"/>
  <c r="D31" i="1"/>
  <c r="B11" i="28"/>
  <c r="D7" i="28"/>
  <c r="B7" i="28"/>
  <c r="A1" i="28"/>
  <c r="C4" i="1"/>
  <c r="C7" i="1"/>
  <c r="C6" i="1"/>
  <c r="C5" i="1"/>
  <c r="B11" i="1"/>
  <c r="A1" i="27"/>
  <c r="A1" i="26"/>
  <c r="A1" i="25" l="1"/>
  <c r="A1" i="24"/>
  <c r="B6" i="23"/>
  <c r="A1" i="23"/>
  <c r="F47" i="2"/>
  <c r="D21" i="18" s="1"/>
  <c r="N22" i="18" s="1"/>
  <c r="E48" i="5" s="1"/>
  <c r="F46" i="2"/>
  <c r="A152" i="21" s="1"/>
  <c r="F45" i="2"/>
  <c r="E13" i="1" s="1"/>
  <c r="F44" i="2"/>
  <c r="A22" i="11" s="1"/>
  <c r="F43" i="2"/>
  <c r="A134" i="21" s="1"/>
  <c r="F42" i="2"/>
  <c r="E24" i="1" s="1"/>
  <c r="F41" i="2"/>
  <c r="E29" i="1" s="1"/>
  <c r="F40" i="2"/>
  <c r="F39" i="2"/>
  <c r="A110" i="21" s="1"/>
  <c r="F38" i="2"/>
  <c r="F37" i="2"/>
  <c r="A98" i="21" s="1"/>
  <c r="F36" i="2"/>
  <c r="E19" i="1" s="1"/>
  <c r="F35" i="2"/>
  <c r="Q10" i="18" s="1"/>
  <c r="D44" i="3" s="1"/>
  <c r="F34" i="2"/>
  <c r="A16" i="12" s="1"/>
  <c r="F33" i="2"/>
  <c r="D22" i="6" s="1"/>
  <c r="F32" i="2"/>
  <c r="B22" i="6" s="1"/>
  <c r="F31" i="2"/>
  <c r="B9" i="23" s="1"/>
  <c r="F30" i="2"/>
  <c r="B10" i="26" s="1"/>
  <c r="F29" i="2"/>
  <c r="B25" i="6" s="1"/>
  <c r="F28" i="2"/>
  <c r="B15" i="5" s="1"/>
  <c r="F27" i="2"/>
  <c r="B17" i="4" s="1"/>
  <c r="F26" i="2"/>
  <c r="F25" i="2"/>
  <c r="F24" i="2"/>
  <c r="A20" i="21" s="1"/>
  <c r="F23" i="2"/>
  <c r="A14" i="21" s="1"/>
  <c r="F22" i="2"/>
  <c r="F21" i="2"/>
  <c r="B7" i="24" s="1"/>
  <c r="A4" i="21"/>
  <c r="A10" i="21"/>
  <c r="A16" i="21"/>
  <c r="A22" i="21"/>
  <c r="A28" i="21"/>
  <c r="A34" i="21"/>
  <c r="A40" i="21"/>
  <c r="A46" i="21"/>
  <c r="A52" i="21"/>
  <c r="A58" i="21"/>
  <c r="A64" i="21"/>
  <c r="A70" i="21"/>
  <c r="A76" i="21"/>
  <c r="A82" i="21"/>
  <c r="A88" i="21"/>
  <c r="A94" i="21"/>
  <c r="A100" i="21"/>
  <c r="A106" i="21"/>
  <c r="A112" i="21"/>
  <c r="A118" i="21"/>
  <c r="A124" i="21"/>
  <c r="A130" i="21"/>
  <c r="A136" i="21"/>
  <c r="A142" i="21"/>
  <c r="A148" i="21"/>
  <c r="A154" i="21"/>
  <c r="A160" i="21"/>
  <c r="A3" i="22"/>
  <c r="D3" i="22"/>
  <c r="C3" i="22"/>
  <c r="B3" i="22"/>
  <c r="A4" i="22"/>
  <c r="D4" i="22"/>
  <c r="C4" i="22"/>
  <c r="B4" i="22"/>
  <c r="A5" i="22"/>
  <c r="D5" i="22"/>
  <c r="C5" i="22"/>
  <c r="B5" i="22"/>
  <c r="A6" i="22"/>
  <c r="D6" i="22"/>
  <c r="C6" i="22"/>
  <c r="B6" i="22"/>
  <c r="A7" i="22"/>
  <c r="D7" i="22"/>
  <c r="C7" i="22"/>
  <c r="B7" i="22"/>
  <c r="A8" i="22"/>
  <c r="D8" i="22"/>
  <c r="C8" i="22"/>
  <c r="B8" i="22"/>
  <c r="A9" i="22"/>
  <c r="D9" i="22"/>
  <c r="C9" i="22"/>
  <c r="B9" i="22"/>
  <c r="A10" i="22"/>
  <c r="D10" i="22"/>
  <c r="C10" i="22"/>
  <c r="B10" i="22"/>
  <c r="A11" i="22"/>
  <c r="D11" i="22"/>
  <c r="C11" i="22"/>
  <c r="B11" i="22"/>
  <c r="A12" i="22"/>
  <c r="D12" i="22"/>
  <c r="C12" i="22"/>
  <c r="B12" i="22"/>
  <c r="A13" i="22"/>
  <c r="D13" i="22"/>
  <c r="C13" i="22"/>
  <c r="B13" i="22"/>
  <c r="A14" i="22"/>
  <c r="D14" i="22"/>
  <c r="C14" i="22"/>
  <c r="B14" i="22"/>
  <c r="A15" i="22"/>
  <c r="D15" i="22"/>
  <c r="C15" i="22"/>
  <c r="B15" i="22"/>
  <c r="A16" i="22"/>
  <c r="D16" i="22"/>
  <c r="C16" i="22"/>
  <c r="B16" i="22"/>
  <c r="A17" i="22"/>
  <c r="D17" i="22"/>
  <c r="C17" i="22"/>
  <c r="B17" i="22"/>
  <c r="A18" i="22"/>
  <c r="D18" i="22"/>
  <c r="C18" i="22"/>
  <c r="B18" i="22"/>
  <c r="A19" i="22"/>
  <c r="D19" i="22"/>
  <c r="C19" i="22"/>
  <c r="B19" i="22"/>
  <c r="A20" i="22"/>
  <c r="D20" i="22"/>
  <c r="C20" i="22"/>
  <c r="B20" i="22"/>
  <c r="A21" i="22"/>
  <c r="D21" i="22"/>
  <c r="C21" i="22"/>
  <c r="B21" i="22"/>
  <c r="A22" i="22"/>
  <c r="D22" i="22"/>
  <c r="C22" i="22"/>
  <c r="B22" i="22"/>
  <c r="A23" i="22"/>
  <c r="D23" i="22"/>
  <c r="C23" i="22"/>
  <c r="B23" i="22"/>
  <c r="A24" i="22"/>
  <c r="D24" i="22"/>
  <c r="C24" i="22"/>
  <c r="B24" i="22"/>
  <c r="A25" i="22"/>
  <c r="D25" i="22"/>
  <c r="C25" i="22"/>
  <c r="B25" i="22"/>
  <c r="A26" i="22"/>
  <c r="D26" i="22"/>
  <c r="C26" i="22"/>
  <c r="B26" i="22"/>
  <c r="D28" i="22"/>
  <c r="C28" i="22"/>
  <c r="B28" i="22"/>
  <c r="A27" i="22"/>
  <c r="D27" i="22"/>
  <c r="C27" i="22"/>
  <c r="B27" i="22"/>
  <c r="A28" i="22"/>
  <c r="A29" i="22"/>
  <c r="D29" i="22"/>
  <c r="C29" i="22"/>
  <c r="B29" i="22"/>
  <c r="A6" i="21"/>
  <c r="A5" i="21"/>
  <c r="A3" i="21"/>
  <c r="A2" i="21"/>
  <c r="A12" i="21"/>
  <c r="A11" i="21"/>
  <c r="A9" i="21"/>
  <c r="A18" i="21"/>
  <c r="A17" i="21"/>
  <c r="A15" i="21"/>
  <c r="A24" i="21"/>
  <c r="A23" i="21"/>
  <c r="A21" i="21"/>
  <c r="A30" i="21"/>
  <c r="A29" i="21"/>
  <c r="A27" i="21"/>
  <c r="A36" i="21"/>
  <c r="A35" i="21"/>
  <c r="A33" i="21"/>
  <c r="A42" i="21"/>
  <c r="A41" i="21"/>
  <c r="A39" i="21"/>
  <c r="A48" i="21"/>
  <c r="A47" i="21"/>
  <c r="A45" i="21"/>
  <c r="A54" i="21"/>
  <c r="A53" i="21"/>
  <c r="A51" i="21"/>
  <c r="A60" i="21"/>
  <c r="A59" i="21"/>
  <c r="A57" i="21"/>
  <c r="A66" i="21"/>
  <c r="A65" i="21"/>
  <c r="A63" i="21"/>
  <c r="A72" i="21"/>
  <c r="A71" i="21"/>
  <c r="A69" i="21"/>
  <c r="A78" i="21"/>
  <c r="A77" i="21"/>
  <c r="A75" i="21"/>
  <c r="A84" i="21"/>
  <c r="A83" i="21"/>
  <c r="A81" i="21"/>
  <c r="A80" i="21"/>
  <c r="A90" i="21"/>
  <c r="A89" i="21"/>
  <c r="A87" i="21"/>
  <c r="A96" i="21"/>
  <c r="A95" i="21"/>
  <c r="A93" i="21"/>
  <c r="A102" i="21"/>
  <c r="A101" i="21"/>
  <c r="A99" i="21"/>
  <c r="A108" i="21"/>
  <c r="A107" i="21"/>
  <c r="A105" i="21"/>
  <c r="A114" i="21"/>
  <c r="A113" i="21"/>
  <c r="A111" i="21"/>
  <c r="A120" i="21"/>
  <c r="A119" i="21"/>
  <c r="A117" i="21"/>
  <c r="A126" i="21"/>
  <c r="A125" i="21"/>
  <c r="A123" i="21"/>
  <c r="A132" i="21"/>
  <c r="A131" i="21"/>
  <c r="A129" i="21"/>
  <c r="A138" i="21"/>
  <c r="A137" i="21"/>
  <c r="A135" i="21"/>
  <c r="A144" i="21"/>
  <c r="A143" i="21"/>
  <c r="A141" i="21"/>
  <c r="A150" i="21"/>
  <c r="A149" i="21"/>
  <c r="A147" i="21"/>
  <c r="A156" i="21"/>
  <c r="A155" i="21"/>
  <c r="A153" i="21"/>
  <c r="A162" i="21"/>
  <c r="A161" i="21"/>
  <c r="A159" i="21"/>
  <c r="A64" i="8"/>
  <c r="E69" i="8"/>
  <c r="A60" i="17"/>
  <c r="A59" i="4"/>
  <c r="A23" i="5"/>
  <c r="A23" i="6"/>
  <c r="A22" i="7"/>
  <c r="A23" i="8"/>
  <c r="A61" i="3"/>
  <c r="B69" i="5"/>
  <c r="A66" i="7"/>
  <c r="A75" i="3"/>
  <c r="D31" i="5"/>
  <c r="D27" i="18"/>
  <c r="D36" i="1" s="1"/>
  <c r="B19" i="17" s="1"/>
  <c r="E39" i="17"/>
  <c r="E28" i="17"/>
  <c r="E40" i="4"/>
  <c r="E50" i="5"/>
  <c r="B48" i="6"/>
  <c r="E47" i="7"/>
  <c r="E46" i="8"/>
  <c r="E44" i="3"/>
  <c r="E20" i="1"/>
  <c r="E21" i="18"/>
  <c r="B42" i="5" s="1"/>
  <c r="B35" i="1"/>
  <c r="H1" i="11" s="1"/>
  <c r="B31" i="1"/>
  <c r="A49" i="17"/>
  <c r="G28" i="18"/>
  <c r="E28" i="18" s="1"/>
  <c r="E20" i="17" s="1"/>
  <c r="C25" i="18"/>
  <c r="E33" i="4" s="1"/>
  <c r="C24" i="18"/>
  <c r="B33" i="4"/>
  <c r="G21" i="18"/>
  <c r="A45" i="5" s="1"/>
  <c r="E69" i="5"/>
  <c r="D34" i="1"/>
  <c r="D69" i="5" s="1"/>
  <c r="D31" i="4"/>
  <c r="A31" i="4"/>
  <c r="C21" i="18"/>
  <c r="B43" i="5" s="1"/>
  <c r="C13" i="18"/>
  <c r="E39" i="8" s="1"/>
  <c r="D19" i="1"/>
  <c r="D21" i="1"/>
  <c r="C18" i="18"/>
  <c r="B41" i="6" s="1"/>
  <c r="C19" i="18"/>
  <c r="E41" i="6" s="1"/>
  <c r="C12" i="18"/>
  <c r="B39" i="8" s="1"/>
  <c r="C28" i="18"/>
  <c r="E21" i="17"/>
  <c r="C29" i="18"/>
  <c r="B32" i="17" s="1"/>
  <c r="C30" i="18"/>
  <c r="E32" i="17" s="1"/>
  <c r="C22" i="18"/>
  <c r="E43" i="5" s="1"/>
  <c r="C10" i="18"/>
  <c r="E37" i="3" s="1"/>
  <c r="C27" i="18"/>
  <c r="B21" i="17" s="1"/>
  <c r="C31" i="18"/>
  <c r="B47" i="17" s="1"/>
  <c r="B27" i="5"/>
  <c r="B31" i="5"/>
  <c r="B29" i="6"/>
  <c r="B27" i="8"/>
  <c r="B25" i="3"/>
  <c r="A24" i="11"/>
  <c r="A12" i="11"/>
  <c r="A8" i="11"/>
  <c r="E11" i="12"/>
  <c r="E10" i="12"/>
  <c r="B25" i="12"/>
  <c r="B21" i="12"/>
  <c r="A28" i="12"/>
  <c r="A13" i="12"/>
  <c r="A12" i="12"/>
  <c r="E11" i="1"/>
  <c r="B27" i="1"/>
  <c r="F1" i="11" s="1"/>
  <c r="B15" i="1"/>
  <c r="D2" i="8" s="1"/>
  <c r="E47" i="2"/>
  <c r="E46" i="2"/>
  <c r="E45" i="2"/>
  <c r="E44" i="2"/>
  <c r="E43" i="2"/>
  <c r="E42" i="2"/>
  <c r="E41" i="2"/>
  <c r="E40" i="2"/>
  <c r="E39" i="2"/>
  <c r="E38" i="2"/>
  <c r="E37" i="2"/>
  <c r="E36" i="2"/>
  <c r="A1" i="1"/>
  <c r="B23" i="1"/>
  <c r="B19" i="1"/>
  <c r="D2" i="7" s="1"/>
  <c r="D2" i="3"/>
  <c r="B6" i="17"/>
  <c r="A1" i="17"/>
  <c r="E7" i="5"/>
  <c r="E69" i="6"/>
  <c r="B6" i="12"/>
  <c r="E7" i="12"/>
  <c r="E9" i="12"/>
  <c r="C71" i="4"/>
  <c r="A1" i="4"/>
  <c r="A1" i="5"/>
  <c r="A1" i="6"/>
  <c r="A1" i="7"/>
  <c r="A1" i="8"/>
  <c r="A1" i="3"/>
  <c r="A1" i="12"/>
  <c r="E12" i="12"/>
  <c r="E13" i="12"/>
  <c r="E14" i="12"/>
  <c r="E16" i="12"/>
  <c r="C9" i="18"/>
  <c r="B37" i="3" s="1"/>
  <c r="D23" i="1"/>
  <c r="D11" i="1"/>
  <c r="A35" i="3" s="1"/>
  <c r="D17" i="1"/>
  <c r="D37" i="8" s="1"/>
  <c r="D13" i="1"/>
  <c r="D35" i="3" s="1"/>
  <c r="C15" i="18"/>
  <c r="B40" i="7" s="1"/>
  <c r="D25" i="1"/>
  <c r="D29" i="1"/>
  <c r="D41" i="1"/>
  <c r="D30" i="17" s="1"/>
  <c r="D27" i="1"/>
  <c r="A9" i="28" s="1"/>
  <c r="D15" i="1"/>
  <c r="A37" i="8" s="1"/>
  <c r="D39" i="1"/>
  <c r="A30" i="17" s="1"/>
  <c r="D43" i="1"/>
  <c r="A45" i="17" s="1"/>
  <c r="C16" i="18"/>
  <c r="E40" i="7"/>
  <c r="D37" i="1"/>
  <c r="D19" i="17" s="1"/>
  <c r="D35" i="1"/>
  <c r="A19" i="17" s="1"/>
  <c r="B12" i="8"/>
  <c r="B58" i="5"/>
  <c r="A17" i="12"/>
  <c r="E31" i="1"/>
  <c r="Q28" i="18"/>
  <c r="D28" i="17" s="1"/>
  <c r="E33" i="1"/>
  <c r="B9" i="6"/>
  <c r="F25" i="18"/>
  <c r="Q18" i="18"/>
  <c r="A48" i="6" s="1"/>
  <c r="A25" i="12"/>
  <c r="A29" i="12"/>
  <c r="B65" i="3"/>
  <c r="F29" i="18"/>
  <c r="Q25" i="18"/>
  <c r="D40" i="4" s="1"/>
  <c r="B61" i="4"/>
  <c r="D21" i="4"/>
  <c r="B29" i="12"/>
  <c r="C27" i="1"/>
  <c r="B17" i="7"/>
  <c r="D19" i="18"/>
  <c r="D26" i="1" s="1"/>
  <c r="E39" i="6" s="1"/>
  <c r="B18" i="8"/>
  <c r="B18" i="5"/>
  <c r="D10" i="18"/>
  <c r="D14" i="1" s="1"/>
  <c r="E35" i="3" s="1"/>
  <c r="B55" i="17"/>
  <c r="A24" i="12"/>
  <c r="A16" i="11"/>
  <c r="B72" i="6"/>
  <c r="G16" i="18"/>
  <c r="D50" i="7" s="1"/>
  <c r="D13" i="18"/>
  <c r="D18" i="1" s="1"/>
  <c r="D79" i="3" s="1"/>
  <c r="G30" i="18"/>
  <c r="D34" i="17" s="1"/>
  <c r="Q15" i="18"/>
  <c r="A47" i="7" s="1"/>
  <c r="Q29" i="18"/>
  <c r="A39" i="17" s="1"/>
  <c r="E28" i="1"/>
  <c r="D19" i="4"/>
  <c r="G1" i="11" l="1"/>
  <c r="D2" i="28"/>
  <c r="D9" i="27"/>
  <c r="D9" i="28"/>
  <c r="B5" i="5"/>
  <c r="B5" i="27"/>
  <c r="D2" i="17"/>
  <c r="D58" i="4"/>
  <c r="Q24" i="18"/>
  <c r="A40" i="4" s="1"/>
  <c r="F18" i="18"/>
  <c r="B50" i="6" s="1"/>
  <c r="B11" i="12"/>
  <c r="E18" i="18"/>
  <c r="B40" i="6" s="1"/>
  <c r="B54" i="4"/>
  <c r="B18" i="6"/>
  <c r="G9" i="18"/>
  <c r="E9" i="18" s="1"/>
  <c r="B36" i="3" s="1"/>
  <c r="A20" i="11"/>
  <c r="B28" i="7"/>
  <c r="G25" i="18"/>
  <c r="D35" i="4" s="1"/>
  <c r="D16" i="18"/>
  <c r="D22" i="1" s="1"/>
  <c r="E38" i="7" s="1"/>
  <c r="C31" i="1"/>
  <c r="B16" i="6"/>
  <c r="A116" i="21"/>
  <c r="E15" i="12"/>
  <c r="B15" i="7"/>
  <c r="B71" i="4"/>
  <c r="B16" i="8"/>
  <c r="E15" i="1"/>
  <c r="D59" i="17"/>
  <c r="A146" i="21"/>
  <c r="B54" i="3"/>
  <c r="D25" i="3"/>
  <c r="E32" i="1"/>
  <c r="B6" i="28" s="1"/>
  <c r="B8" i="17"/>
  <c r="A5" i="11"/>
  <c r="Q22" i="18"/>
  <c r="D50" i="5" s="1"/>
  <c r="F9" i="18"/>
  <c r="B46" i="3" s="1"/>
  <c r="E17" i="1"/>
  <c r="A158" i="21"/>
  <c r="E16" i="18"/>
  <c r="E39" i="7" s="1"/>
  <c r="R29" i="18"/>
  <c r="B39" i="17" s="1"/>
  <c r="D28" i="7"/>
  <c r="E17" i="12"/>
  <c r="B73" i="5"/>
  <c r="B24" i="12"/>
  <c r="A21" i="12"/>
  <c r="Q16" i="18"/>
  <c r="D47" i="7" s="1"/>
  <c r="B62" i="17"/>
  <c r="A13" i="11"/>
  <c r="C11" i="1"/>
  <c r="B5" i="3" s="1"/>
  <c r="F31" i="18"/>
  <c r="B51" i="17" s="1"/>
  <c r="F28" i="18"/>
  <c r="B55" i="7"/>
  <c r="E25" i="1"/>
  <c r="A25" i="11"/>
  <c r="B69" i="4"/>
  <c r="Q13" i="18"/>
  <c r="D46" i="8" s="1"/>
  <c r="A21" i="11"/>
  <c r="A86" i="21"/>
  <c r="D29" i="6"/>
  <c r="B83" i="3"/>
  <c r="D22" i="18"/>
  <c r="D30" i="1" s="1"/>
  <c r="E41" i="5" s="1"/>
  <c r="B56" i="6"/>
  <c r="B10" i="12"/>
  <c r="B28" i="12"/>
  <c r="D27" i="8"/>
  <c r="F24" i="18"/>
  <c r="B42" i="4" s="1"/>
  <c r="B54" i="8"/>
  <c r="B20" i="12"/>
  <c r="E18" i="1"/>
  <c r="F30" i="18"/>
  <c r="B10" i="5"/>
  <c r="C19" i="1"/>
  <c r="B5" i="7" s="1"/>
  <c r="B23" i="3"/>
  <c r="E19" i="18"/>
  <c r="E40" i="6" s="1"/>
  <c r="B10" i="7"/>
  <c r="B9" i="3"/>
  <c r="A9" i="11"/>
  <c r="E13" i="18"/>
  <c r="E38" i="8" s="1"/>
  <c r="B15" i="12"/>
  <c r="A18" i="12"/>
  <c r="B52" i="4"/>
  <c r="A122" i="21"/>
  <c r="R19" i="18"/>
  <c r="E48" i="6" s="1"/>
  <c r="D31" i="18"/>
  <c r="D44" i="1" s="1"/>
  <c r="B45" i="17" s="1"/>
  <c r="B52" i="3"/>
  <c r="A7" i="11"/>
  <c r="D22" i="8"/>
  <c r="B26" i="12"/>
  <c r="B15" i="8"/>
  <c r="A56" i="8"/>
  <c r="A68" i="21"/>
  <c r="A19" i="12"/>
  <c r="C23" i="1"/>
  <c r="B5" i="26" s="1"/>
  <c r="A26" i="21"/>
  <c r="F16" i="18"/>
  <c r="A23" i="11"/>
  <c r="F22" i="18"/>
  <c r="B59" i="17"/>
  <c r="B22" i="8"/>
  <c r="B50" i="3"/>
  <c r="E27" i="1"/>
  <c r="B6" i="27" s="1"/>
  <c r="B17" i="12"/>
  <c r="A10" i="12"/>
  <c r="B24" i="7"/>
  <c r="G31" i="18"/>
  <c r="B52" i="17" s="1"/>
  <c r="D28" i="18"/>
  <c r="D38" i="1" s="1"/>
  <c r="E19" i="17" s="1"/>
  <c r="R21" i="18"/>
  <c r="B50" i="5" s="1"/>
  <c r="R12" i="18"/>
  <c r="B46" i="8" s="1"/>
  <c r="Q30" i="18"/>
  <c r="D39" i="17" s="1"/>
  <c r="G27" i="18"/>
  <c r="E27" i="18" s="1"/>
  <c r="B20" i="17" s="1"/>
  <c r="A27" i="12"/>
  <c r="G12" i="18"/>
  <c r="B49" i="8" s="1"/>
  <c r="B19" i="4"/>
  <c r="G15" i="18"/>
  <c r="A42" i="7" s="1"/>
  <c r="B14" i="5"/>
  <c r="A64" i="5"/>
  <c r="A22" i="12"/>
  <c r="A140" i="21"/>
  <c r="A14" i="11"/>
  <c r="E34" i="1"/>
  <c r="B70" i="5" s="1"/>
  <c r="B48" i="4"/>
  <c r="B14" i="8"/>
  <c r="D15" i="18"/>
  <c r="D20" i="1" s="1"/>
  <c r="B10" i="25" s="1"/>
  <c r="B14" i="6"/>
  <c r="B19" i="12"/>
  <c r="A14" i="12"/>
  <c r="B9" i="12"/>
  <c r="D9" i="18"/>
  <c r="D12" i="1" s="1"/>
  <c r="B11" i="23" s="1"/>
  <c r="B29" i="5"/>
  <c r="A64" i="6"/>
  <c r="B7" i="25"/>
  <c r="B11" i="25"/>
  <c r="E23" i="1"/>
  <c r="A18" i="11"/>
  <c r="B58" i="4"/>
  <c r="B27" i="12"/>
  <c r="B16" i="12"/>
  <c r="A68" i="3"/>
  <c r="B14" i="7"/>
  <c r="B27" i="6"/>
  <c r="A7" i="12"/>
  <c r="B22" i="5"/>
  <c r="B63" i="17"/>
  <c r="D30" i="18"/>
  <c r="D42" i="1" s="1"/>
  <c r="E30" i="17" s="1"/>
  <c r="B51" i="4"/>
  <c r="B60" i="3"/>
  <c r="D12" i="18"/>
  <c r="A10" i="11"/>
  <c r="F13" i="18"/>
  <c r="A44" i="21"/>
  <c r="F12" i="18"/>
  <c r="B48" i="8" s="1"/>
  <c r="D42" i="17"/>
  <c r="B23" i="12"/>
  <c r="B21" i="7"/>
  <c r="B15" i="6"/>
  <c r="A57" i="7"/>
  <c r="A26" i="12"/>
  <c r="D18" i="18"/>
  <c r="M18" i="18" s="1"/>
  <c r="A46" i="6" s="1"/>
  <c r="A92" i="21"/>
  <c r="G18" i="18"/>
  <c r="B51" i="6" s="1"/>
  <c r="A6" i="11"/>
  <c r="B13" i="7"/>
  <c r="G22" i="18"/>
  <c r="E22" i="18" s="1"/>
  <c r="E42" i="5" s="1"/>
  <c r="D29" i="18"/>
  <c r="D40" i="1" s="1"/>
  <c r="B30" i="17" s="1"/>
  <c r="B26" i="7"/>
  <c r="B25" i="8"/>
  <c r="B21" i="3"/>
  <c r="A3" i="11"/>
  <c r="E31" i="4"/>
  <c r="N21" i="18"/>
  <c r="B48" i="5" s="1"/>
  <c r="Q27" i="18"/>
  <c r="A28" i="17" s="1"/>
  <c r="Q12" i="18"/>
  <c r="A46" i="8" s="1"/>
  <c r="A74" i="21"/>
  <c r="E26" i="1"/>
  <c r="A15" i="11"/>
  <c r="D60" i="3"/>
  <c r="E15" i="18"/>
  <c r="A15" i="12"/>
  <c r="A11" i="11"/>
  <c r="D21" i="7"/>
  <c r="B16" i="5"/>
  <c r="G29" i="18"/>
  <c r="E29" i="18" s="1"/>
  <c r="B31" i="17" s="1"/>
  <c r="B13" i="12"/>
  <c r="D23" i="17"/>
  <c r="D27" i="6"/>
  <c r="A23" i="12"/>
  <c r="F10" i="18"/>
  <c r="F27" i="18"/>
  <c r="B41" i="17" s="1"/>
  <c r="E16" i="1"/>
  <c r="Q19" i="18"/>
  <c r="D48" i="6" s="1"/>
  <c r="G10" i="18"/>
  <c r="A128" i="21"/>
  <c r="A11" i="12"/>
  <c r="F21" i="18"/>
  <c r="B52" i="5" s="1"/>
  <c r="Q21" i="18"/>
  <c r="A50" i="5" s="1"/>
  <c r="D29" i="5"/>
  <c r="R27" i="18"/>
  <c r="B28" i="17" s="1"/>
  <c r="G19" i="18"/>
  <c r="D51" i="6" s="1"/>
  <c r="B14" i="12"/>
  <c r="B18" i="12"/>
  <c r="B22" i="12"/>
  <c r="D22" i="5"/>
  <c r="R9" i="18"/>
  <c r="B44" i="3" s="1"/>
  <c r="E12" i="18"/>
  <c r="B74" i="7"/>
  <c r="A50" i="21"/>
  <c r="D41" i="5"/>
  <c r="A19" i="11"/>
  <c r="A4" i="11"/>
  <c r="C1" i="11"/>
  <c r="D2" i="4"/>
  <c r="E21" i="1"/>
  <c r="B69" i="8" s="1"/>
  <c r="K15" i="18"/>
  <c r="A44" i="7" s="1"/>
  <c r="D26" i="7"/>
  <c r="B8" i="12"/>
  <c r="A8" i="12"/>
  <c r="C15" i="1"/>
  <c r="B78" i="3" s="1"/>
  <c r="F15" i="18"/>
  <c r="B49" i="7" s="1"/>
  <c r="G24" i="18"/>
  <c r="B43" i="4" s="1"/>
  <c r="Q9" i="18"/>
  <c r="A44" i="3" s="1"/>
  <c r="R15" i="18"/>
  <c r="B47" i="7" s="1"/>
  <c r="D63" i="17"/>
  <c r="D25" i="8"/>
  <c r="B31" i="4"/>
  <c r="D28" i="1"/>
  <c r="A9" i="12"/>
  <c r="A20" i="12"/>
  <c r="B12" i="12"/>
  <c r="B7" i="12"/>
  <c r="C35" i="1"/>
  <c r="A17" i="11"/>
  <c r="B9" i="8"/>
  <c r="B21" i="4"/>
  <c r="F19" i="18"/>
  <c r="G13" i="18"/>
  <c r="E8" i="12"/>
  <c r="E12" i="1"/>
  <c r="B7" i="23" s="1"/>
  <c r="R24" i="18"/>
  <c r="B40" i="4" s="1"/>
  <c r="B56" i="3"/>
  <c r="D21" i="3"/>
  <c r="A62" i="21"/>
  <c r="A32" i="21"/>
  <c r="E30" i="18"/>
  <c r="E31" i="17" s="1"/>
  <c r="D70" i="7"/>
  <c r="E9" i="26"/>
  <c r="D38" i="7"/>
  <c r="D10" i="25"/>
  <c r="D11" i="23"/>
  <c r="A9" i="24"/>
  <c r="B10" i="24"/>
  <c r="B47" i="3"/>
  <c r="A38" i="7"/>
  <c r="A10" i="25"/>
  <c r="A8" i="21"/>
  <c r="B7" i="27"/>
  <c r="B7" i="26"/>
  <c r="A56" i="21"/>
  <c r="E11" i="23"/>
  <c r="D7" i="24"/>
  <c r="D9" i="24"/>
  <c r="D2" i="25"/>
  <c r="B67" i="6"/>
  <c r="A41" i="5"/>
  <c r="A9" i="27"/>
  <c r="D39" i="6"/>
  <c r="D9" i="26"/>
  <c r="D2" i="6"/>
  <c r="D2" i="26"/>
  <c r="D2" i="5"/>
  <c r="D2" i="27"/>
  <c r="A38" i="21"/>
  <c r="B10" i="27"/>
  <c r="A11" i="23"/>
  <c r="B12" i="23"/>
  <c r="D2" i="24"/>
  <c r="E9" i="24"/>
  <c r="B8" i="25"/>
  <c r="B5" i="25"/>
  <c r="B10" i="4"/>
  <c r="A39" i="6"/>
  <c r="A9" i="26"/>
  <c r="D7" i="26"/>
  <c r="D7" i="27"/>
  <c r="D2" i="23"/>
  <c r="B72" i="8"/>
  <c r="D8" i="25"/>
  <c r="B13" i="4"/>
  <c r="D68" i="6"/>
  <c r="D42" i="7"/>
  <c r="E1" i="11"/>
  <c r="B7" i="4"/>
  <c r="E37" i="8"/>
  <c r="J22" i="18"/>
  <c r="E46" i="5" s="1"/>
  <c r="H27" i="18"/>
  <c r="B23" i="17" s="1"/>
  <c r="B38" i="8"/>
  <c r="D1" i="11"/>
  <c r="B53" i="5"/>
  <c r="B1" i="11"/>
  <c r="A104" i="21"/>
  <c r="E9" i="27" l="1"/>
  <c r="E9" i="28"/>
  <c r="B5" i="4"/>
  <c r="B5" i="28"/>
  <c r="D68" i="8"/>
  <c r="B41" i="5"/>
  <c r="B9" i="28"/>
  <c r="M28" i="18"/>
  <c r="D26" i="17" s="1"/>
  <c r="O28" i="18"/>
  <c r="D27" i="17" s="1"/>
  <c r="A23" i="17"/>
  <c r="P27" i="18"/>
  <c r="B27" i="17" s="1"/>
  <c r="J28" i="18"/>
  <c r="E24" i="17" s="1"/>
  <c r="K16" i="18"/>
  <c r="D44" i="7" s="1"/>
  <c r="H22" i="18"/>
  <c r="E45" i="5" s="1"/>
  <c r="D43" i="4"/>
  <c r="O27" i="18"/>
  <c r="A27" i="17" s="1"/>
  <c r="N27" i="18"/>
  <c r="B26" i="17" s="1"/>
  <c r="D53" i="5"/>
  <c r="E25" i="18"/>
  <c r="B38" i="7"/>
  <c r="B5" i="23"/>
  <c r="B6" i="24"/>
  <c r="B68" i="5"/>
  <c r="B67" i="8"/>
  <c r="B69" i="7"/>
  <c r="A39" i="3"/>
  <c r="E10" i="25"/>
  <c r="B7" i="5"/>
  <c r="E24" i="18"/>
  <c r="P24" i="18" s="1"/>
  <c r="B39" i="4" s="1"/>
  <c r="M15" i="18"/>
  <c r="A45" i="7" s="1"/>
  <c r="B69" i="6"/>
  <c r="H9" i="18"/>
  <c r="B39" i="3" s="1"/>
  <c r="B5" i="6"/>
  <c r="A34" i="17"/>
  <c r="N15" i="18"/>
  <c r="B45" i="7" s="1"/>
  <c r="I27" i="18"/>
  <c r="A24" i="17" s="1"/>
  <c r="J27" i="18"/>
  <c r="B24" i="17" s="1"/>
  <c r="L27" i="18"/>
  <c r="B25" i="17" s="1"/>
  <c r="L22" i="18"/>
  <c r="E47" i="5" s="1"/>
  <c r="B42" i="17"/>
  <c r="H15" i="18"/>
  <c r="B42" i="7" s="1"/>
  <c r="P12" i="18"/>
  <c r="B45" i="8" s="1"/>
  <c r="M27" i="18"/>
  <c r="A26" i="17" s="1"/>
  <c r="K27" i="18"/>
  <c r="A25" i="17" s="1"/>
  <c r="H28" i="18"/>
  <c r="E23" i="17" s="1"/>
  <c r="J21" i="18"/>
  <c r="B46" i="5" s="1"/>
  <c r="O15" i="18"/>
  <c r="A46" i="7" s="1"/>
  <c r="A35" i="4"/>
  <c r="B50" i="7"/>
  <c r="I13" i="18"/>
  <c r="D42" i="8" s="1"/>
  <c r="O22" i="18"/>
  <c r="D49" i="5" s="1"/>
  <c r="M21" i="18"/>
  <c r="A48" i="5" s="1"/>
  <c r="P15" i="18"/>
  <c r="B46" i="7" s="1"/>
  <c r="M16" i="18"/>
  <c r="D45" i="7" s="1"/>
  <c r="L30" i="18"/>
  <c r="E36" i="17" s="1"/>
  <c r="H21" i="18"/>
  <c r="B45" i="5" s="1"/>
  <c r="M22" i="18"/>
  <c r="D48" i="5" s="1"/>
  <c r="L16" i="18"/>
  <c r="E44" i="7" s="1"/>
  <c r="P16" i="18"/>
  <c r="E46" i="7" s="1"/>
  <c r="H10" i="18"/>
  <c r="E39" i="3" s="1"/>
  <c r="D43" i="6"/>
  <c r="P21" i="18"/>
  <c r="B49" i="5" s="1"/>
  <c r="B39" i="7"/>
  <c r="J16" i="18"/>
  <c r="E43" i="7" s="1"/>
  <c r="H16" i="18"/>
  <c r="E42" i="7" s="1"/>
  <c r="B35" i="3"/>
  <c r="K22" i="18"/>
  <c r="D47" i="5" s="1"/>
  <c r="P22" i="18"/>
  <c r="E49" i="5" s="1"/>
  <c r="L21" i="18"/>
  <c r="B47" i="5" s="1"/>
  <c r="L15" i="18"/>
  <c r="B44" i="7" s="1"/>
  <c r="K28" i="18"/>
  <c r="D25" i="17" s="1"/>
  <c r="I28" i="18"/>
  <c r="D24" i="17" s="1"/>
  <c r="P28" i="18"/>
  <c r="E27" i="17" s="1"/>
  <c r="L28" i="18"/>
  <c r="E25" i="17" s="1"/>
  <c r="N28" i="18"/>
  <c r="E26" i="17" s="1"/>
  <c r="I21" i="18"/>
  <c r="A46" i="5" s="1"/>
  <c r="I22" i="18"/>
  <c r="D46" i="5" s="1"/>
  <c r="O21" i="18"/>
  <c r="A49" i="5" s="1"/>
  <c r="K21" i="18"/>
  <c r="A47" i="5" s="1"/>
  <c r="J15" i="18"/>
  <c r="B43" i="7" s="1"/>
  <c r="N16" i="18"/>
  <c r="E45" i="7" s="1"/>
  <c r="I15" i="18"/>
  <c r="A43" i="7" s="1"/>
  <c r="O16" i="18"/>
  <c r="D46" i="7" s="1"/>
  <c r="I16" i="18"/>
  <c r="D43" i="7" s="1"/>
  <c r="B68" i="8"/>
  <c r="B5" i="8"/>
  <c r="E32" i="4"/>
  <c r="B6" i="8"/>
  <c r="D45" i="5"/>
  <c r="B6" i="6"/>
  <c r="J18" i="18"/>
  <c r="B44" i="6" s="1"/>
  <c r="I19" i="18"/>
  <c r="D44" i="6" s="1"/>
  <c r="M12" i="18"/>
  <c r="A44" i="8" s="1"/>
  <c r="P30" i="18"/>
  <c r="E38" i="17" s="1"/>
  <c r="M19" i="18"/>
  <c r="D46" i="6" s="1"/>
  <c r="E31" i="18"/>
  <c r="B46" i="17" s="1"/>
  <c r="A43" i="6"/>
  <c r="L18" i="18"/>
  <c r="B45" i="6" s="1"/>
  <c r="L19" i="18"/>
  <c r="E45" i="6" s="1"/>
  <c r="A41" i="8"/>
  <c r="I12" i="18"/>
  <c r="A42" i="8" s="1"/>
  <c r="D16" i="1"/>
  <c r="P29" i="18"/>
  <c r="B38" i="17" s="1"/>
  <c r="K12" i="18"/>
  <c r="A43" i="8" s="1"/>
  <c r="P13" i="18"/>
  <c r="E45" i="8" s="1"/>
  <c r="M29" i="18"/>
  <c r="A37" i="17" s="1"/>
  <c r="O30" i="18"/>
  <c r="D38" i="17" s="1"/>
  <c r="K18" i="18"/>
  <c r="A45" i="6" s="1"/>
  <c r="P18" i="18"/>
  <c r="B47" i="6" s="1"/>
  <c r="L12" i="18"/>
  <c r="B43" i="8" s="1"/>
  <c r="O29" i="18"/>
  <c r="A38" i="17" s="1"/>
  <c r="K19" i="18"/>
  <c r="D45" i="6" s="1"/>
  <c r="O19" i="18"/>
  <c r="D47" i="6" s="1"/>
  <c r="O18" i="18"/>
  <c r="A47" i="6" s="1"/>
  <c r="B71" i="7"/>
  <c r="N12" i="18"/>
  <c r="B44" i="8" s="1"/>
  <c r="M30" i="18"/>
  <c r="D37" i="17" s="1"/>
  <c r="N30" i="18"/>
  <c r="E37" i="17" s="1"/>
  <c r="H19" i="18"/>
  <c r="E43" i="6" s="1"/>
  <c r="H30" i="18"/>
  <c r="E34" i="17" s="1"/>
  <c r="N18" i="18"/>
  <c r="B46" i="6" s="1"/>
  <c r="M13" i="18"/>
  <c r="D44" i="8" s="1"/>
  <c r="L29" i="18"/>
  <c r="B36" i="17" s="1"/>
  <c r="J13" i="18"/>
  <c r="E42" i="8" s="1"/>
  <c r="J29" i="18"/>
  <c r="B35" i="17" s="1"/>
  <c r="H18" i="18"/>
  <c r="B43" i="6" s="1"/>
  <c r="J30" i="18"/>
  <c r="E35" i="17" s="1"/>
  <c r="H12" i="18"/>
  <c r="B41" i="8" s="1"/>
  <c r="O12" i="18"/>
  <c r="A45" i="8" s="1"/>
  <c r="O13" i="18"/>
  <c r="D45" i="8" s="1"/>
  <c r="H29" i="18"/>
  <c r="B34" i="17" s="1"/>
  <c r="K13" i="18"/>
  <c r="D43" i="8" s="1"/>
  <c r="N13" i="18"/>
  <c r="E44" i="8" s="1"/>
  <c r="I29" i="18"/>
  <c r="A35" i="17" s="1"/>
  <c r="I30" i="18"/>
  <c r="D35" i="17" s="1"/>
  <c r="H13" i="18"/>
  <c r="E41" i="8" s="1"/>
  <c r="J19" i="18"/>
  <c r="E44" i="6" s="1"/>
  <c r="I18" i="18"/>
  <c r="A44" i="6" s="1"/>
  <c r="K29" i="18"/>
  <c r="A36" i="17" s="1"/>
  <c r="J12" i="18"/>
  <c r="B42" i="8" s="1"/>
  <c r="N19" i="18"/>
  <c r="E46" i="6" s="1"/>
  <c r="P19" i="18"/>
  <c r="E47" i="6" s="1"/>
  <c r="L13" i="18"/>
  <c r="E43" i="8" s="1"/>
  <c r="D24" i="1"/>
  <c r="B39" i="6" s="1"/>
  <c r="B6" i="26"/>
  <c r="B7" i="7"/>
  <c r="B9" i="27"/>
  <c r="B6" i="25"/>
  <c r="B80" i="3"/>
  <c r="B5" i="24"/>
  <c r="D39" i="3"/>
  <c r="E10" i="18"/>
  <c r="D47" i="3"/>
  <c r="B68" i="6"/>
  <c r="D49" i="8"/>
  <c r="D41" i="8"/>
  <c r="B6" i="3"/>
  <c r="K30" i="18"/>
  <c r="D36" i="17" s="1"/>
  <c r="N29" i="18"/>
  <c r="B37" i="17" s="1"/>
  <c r="K25" i="18"/>
  <c r="D37" i="4" s="1"/>
  <c r="B32" i="4"/>
  <c r="H24" i="18"/>
  <c r="B35" i="4" s="1"/>
  <c r="N24" i="18" l="1"/>
  <c r="B38" i="4" s="1"/>
  <c r="M25" i="18"/>
  <c r="D38" i="4" s="1"/>
  <c r="I24" i="18"/>
  <c r="A36" i="4" s="1"/>
  <c r="I25" i="18"/>
  <c r="D36" i="4" s="1"/>
  <c r="N25" i="18"/>
  <c r="E38" i="4" s="1"/>
  <c r="O25" i="18"/>
  <c r="D39" i="4" s="1"/>
  <c r="J24" i="18"/>
  <c r="B36" i="4" s="1"/>
  <c r="L24" i="18"/>
  <c r="B37" i="4" s="1"/>
  <c r="M24" i="18"/>
  <c r="A38" i="4" s="1"/>
  <c r="O24" i="18"/>
  <c r="A39" i="4" s="1"/>
  <c r="J25" i="18"/>
  <c r="E36" i="4" s="1"/>
  <c r="K24" i="18"/>
  <c r="A37" i="4" s="1"/>
  <c r="P25" i="18"/>
  <c r="E39" i="4" s="1"/>
  <c r="H25" i="18"/>
  <c r="E35" i="4" s="1"/>
  <c r="L25" i="18"/>
  <c r="E37" i="4" s="1"/>
  <c r="B9" i="26"/>
  <c r="B37" i="8"/>
  <c r="B79" i="3"/>
  <c r="B9" i="24"/>
  <c r="B70" i="7"/>
  <c r="E36" i="3"/>
  <c r="K10" i="18"/>
  <c r="D41" i="3" s="1"/>
  <c r="J10" i="18"/>
  <c r="E40" i="3" s="1"/>
  <c r="M9" i="18"/>
  <c r="A42" i="3" s="1"/>
  <c r="N10" i="18"/>
  <c r="E42" i="3" s="1"/>
  <c r="P10" i="18"/>
  <c r="E43" i="3" s="1"/>
  <c r="I9" i="18"/>
  <c r="A40" i="3" s="1"/>
  <c r="J9" i="18"/>
  <c r="B40" i="3" s="1"/>
  <c r="O9" i="18"/>
  <c r="A43" i="3" s="1"/>
  <c r="I10" i="18"/>
  <c r="D40" i="3" s="1"/>
  <c r="N9" i="18"/>
  <c r="B42" i="3" s="1"/>
  <c r="L9" i="18"/>
  <c r="B41" i="3" s="1"/>
  <c r="M10" i="18"/>
  <c r="D42" i="3" s="1"/>
  <c r="K9" i="18"/>
  <c r="A41" i="3" s="1"/>
  <c r="O10" i="18"/>
  <c r="D43" i="3" s="1"/>
  <c r="P9" i="18"/>
  <c r="B43" i="3" s="1"/>
  <c r="L10" i="18"/>
  <c r="E41" i="3" s="1"/>
</calcChain>
</file>

<file path=xl/sharedStrings.xml><?xml version="1.0" encoding="utf-8"?>
<sst xmlns="http://schemas.openxmlformats.org/spreadsheetml/2006/main" count="975" uniqueCount="468">
  <si>
    <t>TEAM</t>
  </si>
  <si>
    <t>MEETINGS</t>
  </si>
  <si>
    <t>DATE</t>
  </si>
  <si>
    <t>DEVOTIONS</t>
  </si>
  <si>
    <t>TALK</t>
  </si>
  <si>
    <t>PREVIEWS</t>
  </si>
  <si>
    <t>REFRESHMENTS/</t>
  </si>
  <si>
    <t>Lay Director</t>
  </si>
  <si>
    <t>Board Rep</t>
  </si>
  <si>
    <t>Technical Director</t>
  </si>
  <si>
    <t>Music Director</t>
  </si>
  <si>
    <t>Music Director 2</t>
  </si>
  <si>
    <t>Spiritual Director</t>
  </si>
  <si>
    <t>6:30pm</t>
  </si>
  <si>
    <t>Life of Piety</t>
  </si>
  <si>
    <t>Christian Action</t>
  </si>
  <si>
    <t>Discipleship</t>
  </si>
  <si>
    <t>Changing Our World</t>
  </si>
  <si>
    <t>Body of Christ</t>
  </si>
  <si>
    <t>TBA</t>
  </si>
  <si>
    <t xml:space="preserve">            </t>
  </si>
  <si>
    <t>Introduction</t>
  </si>
  <si>
    <t xml:space="preserve">          </t>
  </si>
  <si>
    <t xml:space="preserve">        </t>
  </si>
  <si>
    <t>CHECKOFFS</t>
  </si>
  <si>
    <t>PRAYER PARTNER TIME</t>
  </si>
  <si>
    <t>Meditation and Prayer</t>
  </si>
  <si>
    <t xml:space="preserve">CHAPEL </t>
  </si>
  <si>
    <t>EMMAUS CANON</t>
  </si>
  <si>
    <t>OPENING REMARKS</t>
  </si>
  <si>
    <t>TEAM INTRODUCTIONS</t>
  </si>
  <si>
    <t>SD REMARKS</t>
  </si>
  <si>
    <t>MUSIC</t>
  </si>
  <si>
    <t>TALK PREVIEWS</t>
  </si>
  <si>
    <t xml:space="preserve">Pray with speakers = </t>
  </si>
  <si>
    <t>Clean sheet of paper =</t>
  </si>
  <si>
    <t>Team/Talk Manuals</t>
  </si>
  <si>
    <t>Team Fees/Snacks</t>
  </si>
  <si>
    <t>PILGRIM UPDATE</t>
  </si>
  <si>
    <t xml:space="preserve">ASSIGNMENTS </t>
  </si>
  <si>
    <t>Read Chapter One of Sustaining the Spirit in Team Manuals</t>
  </si>
  <si>
    <t>Read Emmaus Canon at least once a day – Concentrate on each line</t>
  </si>
  <si>
    <t>Lift Up In Prayer - Team Members by Name</t>
  </si>
  <si>
    <t>Lift Up In Prayer - Pilgrims - known and unknown</t>
  </si>
  <si>
    <t>NEXT WEEK:</t>
  </si>
  <si>
    <t>PREVIEWING</t>
  </si>
  <si>
    <t>REFRESHMENTS</t>
  </si>
  <si>
    <t>FINAL COMMENTS</t>
  </si>
  <si>
    <t>CLOSING PRAYER</t>
  </si>
  <si>
    <t>FINAL CHECKOFFS</t>
  </si>
  <si>
    <t>FINAL PREP</t>
  </si>
  <si>
    <t>Pack early (by Tuesday) so you have time to spend with your family</t>
  </si>
  <si>
    <t>Read Emmaus Canon at least once each day</t>
  </si>
  <si>
    <t>Pray, pray, pray for pilgrim, team, and families</t>
  </si>
  <si>
    <t>Do something special for and with your family!!</t>
  </si>
  <si>
    <t>CLOSING CEREMONY</t>
  </si>
  <si>
    <t>SUNDAY SCHEDULE</t>
  </si>
  <si>
    <t>MUSIC (IF TIME PERMITS)</t>
  </si>
  <si>
    <t>PILGRIM UPDATE - CALL SHEETS</t>
  </si>
  <si>
    <t>Read Chapter Five of Sustaining the Spirit</t>
  </si>
  <si>
    <t>Read Chapter Four of Sustaining the Spirit</t>
  </si>
  <si>
    <t>PILGRIM UPDATE - Call sheets must be returned next week!!</t>
  </si>
  <si>
    <t>Read Chapter Three of Sustaining the Spirit in Team Manuals</t>
  </si>
  <si>
    <t>Read the Emmaus Road Story (Luke 24:13-24)</t>
  </si>
  <si>
    <t>Prayer</t>
  </si>
  <si>
    <t>ALD Responsibilities Prior to Walk</t>
  </si>
  <si>
    <t>ALD Responsibilities During Walk</t>
  </si>
  <si>
    <t>Microphone</t>
  </si>
  <si>
    <t>Runner</t>
  </si>
  <si>
    <t>Bell Ringer/Clock Watcher</t>
  </si>
  <si>
    <t>Medication Person</t>
  </si>
  <si>
    <t>Seating in Sanctuary – 1 Greets, 1 Seats - 7 per row but be flexible</t>
  </si>
  <si>
    <t>Locations</t>
  </si>
  <si>
    <t>Closing Prayer</t>
  </si>
  <si>
    <t xml:space="preserve">Purpose: </t>
  </si>
  <si>
    <t>Primary responsibilities:</t>
  </si>
  <si>
    <t>Purpose</t>
  </si>
  <si>
    <t>Organization</t>
  </si>
  <si>
    <t>Special Music (Tech Director will coordinate)</t>
  </si>
  <si>
    <t>Team Meeting Responsibilities</t>
  </si>
  <si>
    <t>Priority</t>
  </si>
  <si>
    <t>(if needed - if not delete this section)</t>
  </si>
  <si>
    <t>Name</t>
  </si>
  <si>
    <t>Prayer Partners</t>
  </si>
  <si>
    <t>Fourth Day</t>
  </si>
  <si>
    <t>Technical Director 2</t>
  </si>
  <si>
    <t>Grow Through Study</t>
  </si>
  <si>
    <t>Team Member Roles</t>
  </si>
  <si>
    <t>Team Member Names</t>
  </si>
  <si>
    <t>TBD</t>
  </si>
  <si>
    <t>Table Leader 1</t>
  </si>
  <si>
    <t>Experienced ALD</t>
  </si>
  <si>
    <t>Perseverance</t>
  </si>
  <si>
    <t>Asst. Table Leader 1</t>
  </si>
  <si>
    <t>Asst. Table Leader 2</t>
  </si>
  <si>
    <t>Asst. Table Leader 3</t>
  </si>
  <si>
    <t>Asst. Table Leader 4</t>
  </si>
  <si>
    <t>Asst. Table Leader 5</t>
  </si>
  <si>
    <t>Table Leader 2</t>
  </si>
  <si>
    <t>Table Leader 3</t>
  </si>
  <si>
    <t>Table Leader 4</t>
  </si>
  <si>
    <t>Table Leader 5</t>
  </si>
  <si>
    <t>Table Leader 6</t>
  </si>
  <si>
    <t>Table Leader 7</t>
  </si>
  <si>
    <t>and the schedule and meeting agendas will automatically reflect the changes.</t>
  </si>
  <si>
    <t>Talk Names</t>
  </si>
  <si>
    <t>Print out the Meeting Agenda for each meeting on the week of the meeting.</t>
  </si>
  <si>
    <t>The purpose of the talk preview is to make sure that the talk:</t>
  </si>
  <si>
    <t>·         stays within the allotted time</t>
  </si>
  <si>
    <t>·         contains personal witness elements appropriate to the talk</t>
  </si>
  <si>
    <t>·         is clear and is given at a pace comfortable for note-taking</t>
  </si>
  <si>
    <t>Table Names</t>
  </si>
  <si>
    <t>Spiritual Director 2</t>
  </si>
  <si>
    <t>Team Member</t>
  </si>
  <si>
    <t>Associated Team Prayer Partner</t>
  </si>
  <si>
    <t>NOTE: Each Team Member is asked to:</t>
  </si>
  <si>
    <t>Team and Meeting Information Spreadsheet Instructions</t>
  </si>
  <si>
    <t>Find your name under “Team Member” ;</t>
  </si>
  <si>
    <t>to the right is/are your team prayer partner(s), and your associated (opposite gender) team prayer partner(s).</t>
  </si>
  <si>
    <r>
      <t xml:space="preserve">Update information </t>
    </r>
    <r>
      <rPr>
        <b/>
        <u/>
        <sz val="10"/>
        <rFont val="Arial"/>
        <family val="2"/>
      </rPr>
      <t>in the green highlighted cells only</t>
    </r>
    <r>
      <rPr>
        <b/>
        <sz val="10"/>
        <rFont val="Arial"/>
        <family val="2"/>
      </rPr>
      <t>;</t>
    </r>
  </si>
  <si>
    <t>Prevenient Grace</t>
  </si>
  <si>
    <t>Justifying Grace</t>
  </si>
  <si>
    <t>Means of Grace</t>
  </si>
  <si>
    <t>Obstacles to Grace</t>
  </si>
  <si>
    <t>Sanctifying Grace</t>
  </si>
  <si>
    <t>Prepare ALDs for walk events that will not be discussed during normal Team Meetings</t>
  </si>
  <si>
    <t>Electronic Talk Copies</t>
  </si>
  <si>
    <t>AGAPE SIGNING</t>
  </si>
  <si>
    <t>Let the Holy Spirit do its work!!!!</t>
  </si>
  <si>
    <t>We ask that each day you lift up both your Men’s Walk and Women’s Walk partners in prayer and continue to do so throughout their weekends.  Also, we would ask that you write agape notes to your prayer partners for each night of their walks. God bless each of you!</t>
  </si>
  <si>
    <t>Request removal from any Walk Willing Servant jobs for which you volunteered</t>
  </si>
  <si>
    <t>Look at the Meeting Agenda tabs ('Mtg#X' and 'SatMtg'), and add to or change the agendas as you see fit.</t>
  </si>
  <si>
    <t>Walk Spiritual Director and Community Lay Director Instructions</t>
  </si>
  <si>
    <t>TABLE1</t>
  </si>
  <si>
    <t>TABLE2</t>
  </si>
  <si>
    <t>TABLE3</t>
  </si>
  <si>
    <t>TABLE4</t>
  </si>
  <si>
    <t>TABLE5</t>
  </si>
  <si>
    <t>TABLE6</t>
  </si>
  <si>
    <t>Wo/Men's Walk #NN</t>
  </si>
  <si>
    <t>WW Table Names (copy to row 5 if a WW):</t>
  </si>
  <si>
    <t>MW Table Names (copy to row 5 if a MW):</t>
  </si>
  <si>
    <t>Ruth</t>
  </si>
  <si>
    <t>Deborah</t>
  </si>
  <si>
    <t>Elizabeth</t>
  </si>
  <si>
    <t>Mary</t>
  </si>
  <si>
    <t>Sarah</t>
  </si>
  <si>
    <t>Rachel</t>
  </si>
  <si>
    <t>Matthew</t>
  </si>
  <si>
    <t>Mark</t>
  </si>
  <si>
    <t>Luke</t>
  </si>
  <si>
    <t>John</t>
  </si>
  <si>
    <t>Peter</t>
  </si>
  <si>
    <t>Andrew</t>
  </si>
  <si>
    <t>(list the Saturday Meeting date last)</t>
  </si>
  <si>
    <t>No Talk ALD</t>
  </si>
  <si>
    <t>changing information in other cells will potentially affect the automatically generated information on the remaining worksheets, and might make more work for you!</t>
  </si>
  <si>
    <t>Talk Name</t>
  </si>
  <si>
    <t>Speaker</t>
  </si>
  <si>
    <t>Sat. Mtg</t>
  </si>
  <si>
    <t>Talk Introduction</t>
  </si>
  <si>
    <t>Podium</t>
  </si>
  <si>
    <t>Team Manual Ref.</t>
  </si>
  <si>
    <t>Mtg#Talk#</t>
  </si>
  <si>
    <t>Ref.</t>
  </si>
  <si>
    <t>Thurs.#1</t>
  </si>
  <si>
    <t>Thurs.#2</t>
  </si>
  <si>
    <t>Thurs.#3</t>
  </si>
  <si>
    <t>Thurs.#4</t>
  </si>
  <si>
    <t>Thurs.#5</t>
  </si>
  <si>
    <t>Thurs.#6</t>
  </si>
  <si>
    <t>Thurs.#1-1</t>
  </si>
  <si>
    <t>Thurs.#1-2</t>
  </si>
  <si>
    <t>Thurs.#2-1</t>
  </si>
  <si>
    <t>Thurs.#2-2</t>
  </si>
  <si>
    <t>Thurs.#3-1</t>
  </si>
  <si>
    <t>Thurs.#3-2</t>
  </si>
  <si>
    <t>Thurs.#4-1</t>
  </si>
  <si>
    <t>Thurs.#4-2</t>
  </si>
  <si>
    <t>Thurs.#5-1</t>
  </si>
  <si>
    <t>Thurs.#5-2</t>
  </si>
  <si>
    <t>Thurs.#6-1</t>
  </si>
  <si>
    <t>Thurs.#6-2</t>
  </si>
  <si>
    <t>Sat. Mtg-1</t>
  </si>
  <si>
    <t>Sat. Mtg-2</t>
  </si>
  <si>
    <t>Sat. Mtg-3</t>
  </si>
  <si>
    <t>Sat. Mtg-4</t>
  </si>
  <si>
    <t>Sat. Mtg-5</t>
  </si>
  <si>
    <t>Talk preview if needed</t>
  </si>
  <si>
    <t>All team members</t>
  </si>
  <si>
    <t>Walk Name/Number and Table Names</t>
  </si>
  <si>
    <t>To change the order of the talk previews, just change the entries in the 'Talk Name' column -- the team manual reference and speaker name will be automatically updated from the TeamInfo (and other) worksheets.</t>
  </si>
  <si>
    <t>Reviewers</t>
  </si>
  <si>
    <t>NOTES:</t>
  </si>
  <si>
    <t>The spreadsheet initially provides for a default talk preview order:</t>
  </si>
  <si>
    <t>Changes made here will be automatically reflected in the overall team meeting schedule ('Schedule') and individual meeting agenda ('Mtg#1', 'Mtg#2', etc.) worksheets.</t>
  </si>
  <si>
    <t>The ALD talks (Priority and Fourth Day) are scheduled to be previewed at the first Thursday night meeting;</t>
  </si>
  <si>
    <t>the remainder of the layperson talks are scheduled to be previewed at the subsequent Thursday meetings in the order that they would occur on the Walk weekend.</t>
  </si>
  <si>
    <t>The clergy talks are all scheduled to be previewed at the Saturday meeting (the Saturday meeting is held after the 3rd or 4th Thursday night meeting).</t>
  </si>
  <si>
    <t>Note that the spreadsheet assumes that Table Leaders 6 &amp; 7 are the ones at the same table; they should not preview their talks on the same night.</t>
  </si>
  <si>
    <t>Reviewers:</t>
  </si>
  <si>
    <t>Pp. 36, 74</t>
  </si>
  <si>
    <t>Pp. 36, 73</t>
  </si>
  <si>
    <t>Pp. 28, 73</t>
  </si>
  <si>
    <t>Pp. 29, 73</t>
  </si>
  <si>
    <t>Pp. 37, 74</t>
  </si>
  <si>
    <t>Pp. 28, 72</t>
  </si>
  <si>
    <t>Pp. 25, 72</t>
  </si>
  <si>
    <t>Pp. 26, 72</t>
  </si>
  <si>
    <t>Pp. 28-29, 73</t>
  </si>
  <si>
    <t>Pp. 25, 71</t>
  </si>
  <si>
    <t>Pp. 25, 71-72</t>
  </si>
  <si>
    <t>Pp. 24-25, 71</t>
  </si>
  <si>
    <t>Pray w/ Spkrs</t>
  </si>
  <si>
    <t>BR REMARKS</t>
  </si>
  <si>
    <t>Rotate closing prayer – LD, Experienced ALD, Talk-ALD, No Talk-ALD, Experienced ALD, LD</t>
  </si>
  <si>
    <t>Talk previews:</t>
  </si>
  <si>
    <t>Team sings 'Holy Spirit, Thou Art Welcome" (except before 'Priority' talk)</t>
  </si>
  <si>
    <t>ALD closes ("Let us now have a moment of silent meditation…") [this is great practice for the walk weekend]</t>
  </si>
  <si>
    <t>Book Sales – Board Rep/Music Director</t>
  </si>
  <si>
    <t>Designated person prays with speakers before previews</t>
  </si>
  <si>
    <t>Asst Table Leader (or other designated person) reads intro</t>
  </si>
  <si>
    <t>If there is no Assistant TD, need ALD to run Power Point during one of the talk previews</t>
  </si>
  <si>
    <t>Community Lay Director</t>
  </si>
  <si>
    <t>Priesthood of All Believers</t>
  </si>
  <si>
    <t>All Talk Manuals, Team Manuals, and Team Binders to be turned in at/by the last team meeting</t>
  </si>
  <si>
    <t>Local Walk Manual</t>
  </si>
  <si>
    <t>Follow the local weekend timeline; keep speakers relaxed; keep on time -- but be flexible</t>
  </si>
  <si>
    <t>refer to Local Manual's 'ALD Duties Prior to the Walk Weekend' page</t>
  </si>
  <si>
    <t xml:space="preserve">Logistics walk-through         </t>
  </si>
  <si>
    <t>Overall: Run the Walk and keep it on schedule</t>
  </si>
  <si>
    <t>Specific Roles:</t>
  </si>
  <si>
    <t xml:space="preserve">Refer to Weekend Timeline – step by step walk-through                </t>
  </si>
  <si>
    <t>Chapel Visits – give TLs time frame, discuss giving them a 5-minute warning (i.e. knock on the door)</t>
  </si>
  <si>
    <t>First Names</t>
  </si>
  <si>
    <t>Last Names</t>
  </si>
  <si>
    <t>&lt;SD</t>
  </si>
  <si>
    <t>&lt;SD2</t>
  </si>
  <si>
    <t xml:space="preserve">TBD - </t>
  </si>
  <si>
    <t>&lt;LD</t>
  </si>
  <si>
    <t>&lt;ALD1</t>
  </si>
  <si>
    <t>&lt;ALD2</t>
  </si>
  <si>
    <t>&lt;ALD3</t>
  </si>
  <si>
    <t>&lt;BR</t>
  </si>
  <si>
    <t>&lt;TD</t>
  </si>
  <si>
    <t>&lt;TD2</t>
  </si>
  <si>
    <t>&lt;MD</t>
  </si>
  <si>
    <t>&lt;MD2</t>
  </si>
  <si>
    <t>&lt;TL1</t>
  </si>
  <si>
    <t>&lt;ATL1</t>
  </si>
  <si>
    <t>&lt;TL2</t>
  </si>
  <si>
    <t>&lt;ATL2</t>
  </si>
  <si>
    <t>&lt;TL3</t>
  </si>
  <si>
    <t>&lt;ATL3</t>
  </si>
  <si>
    <t>&lt;TL4</t>
  </si>
  <si>
    <t>&lt;ATL4</t>
  </si>
  <si>
    <t>&lt;TL5</t>
  </si>
  <si>
    <t>&lt;ATL5</t>
  </si>
  <si>
    <t>&lt;TL6</t>
  </si>
  <si>
    <t>&lt;TL7</t>
  </si>
  <si>
    <t>Name&gt;</t>
  </si>
  <si>
    <t>Prevenient</t>
  </si>
  <si>
    <t>Justifying</t>
  </si>
  <si>
    <t>Obstacles</t>
  </si>
  <si>
    <t>Sanctifying</t>
  </si>
  <si>
    <t>When changing the talk preview order, the associated team meeting assignment information *should* update automatically (person introducing the talk, praying with the speaker, etc.)</t>
  </si>
  <si>
    <t>Finish your Pilgrim, Team and Pretalk agape by Sunday</t>
  </si>
  <si>
    <t>Don't forget to pack cross, share card (Men's Walk), agape, talk, &amp; purple worship book</t>
  </si>
  <si>
    <t>Begin preparing your team and speaker 'pre-talk' agape, and pilgrim agape (as desired)</t>
  </si>
  <si>
    <t>Continue preparing agape for team and speakers, and pilgrims (as desired)</t>
  </si>
  <si>
    <t>TEAM BRIEFING</t>
  </si>
  <si>
    <t>discuss pitfalls of using social media while on</t>
  </si>
  <si>
    <t>team -- you are being watched &amp; judged;</t>
  </si>
  <si>
    <t>discuss cell phone usage at team meetings)</t>
  </si>
  <si>
    <r>
      <t xml:space="preserve">·         covers </t>
    </r>
    <r>
      <rPr>
        <b/>
        <sz val="13"/>
        <rFont val="Times New Roman"/>
        <family val="1"/>
      </rPr>
      <t>all</t>
    </r>
    <r>
      <rPr>
        <sz val="13"/>
        <rFont val="Times New Roman"/>
        <family val="1"/>
      </rPr>
      <t xml:space="preserve"> of the major points in the outline, and </t>
    </r>
    <r>
      <rPr>
        <b/>
        <sz val="13"/>
        <rFont val="Times New Roman"/>
        <family val="1"/>
      </rPr>
      <t>only</t>
    </r>
    <r>
      <rPr>
        <sz val="13"/>
        <rFont val="Times New Roman"/>
        <family val="1"/>
      </rPr>
      <t xml:space="preserve"> those points</t>
    </r>
  </si>
  <si>
    <t>or could improve.  It is the responsibility of the team to help make it the ‘best talk ever’!</t>
  </si>
  <si>
    <r>
      <t>Ø</t>
    </r>
    <r>
      <rPr>
        <sz val="13"/>
        <rFont val="Times New Roman"/>
        <family val="1"/>
      </rPr>
      <t>      Name, Pilgrim Walk, and Table Name</t>
    </r>
  </si>
  <si>
    <r>
      <t>Ø</t>
    </r>
    <r>
      <rPr>
        <sz val="13"/>
        <rFont val="Times New Roman"/>
        <family val="1"/>
      </rPr>
      <t>      Team Experience and Home Church</t>
    </r>
  </si>
  <si>
    <r>
      <t>Ø</t>
    </r>
    <r>
      <rPr>
        <sz val="13"/>
        <rFont val="Times New Roman"/>
        <family val="1"/>
      </rPr>
      <t>      Why did you say yes to being on this team</t>
    </r>
  </si>
  <si>
    <r>
      <t>REFRESHMENTS</t>
    </r>
    <r>
      <rPr>
        <b/>
        <sz val="13"/>
        <rFont val="Times New Roman"/>
        <family val="1"/>
      </rPr>
      <t xml:space="preserve"> </t>
    </r>
  </si>
  <si>
    <t>Read Table Dynamics in Team Manual, Pgs. 65 thru 69</t>
  </si>
  <si>
    <t>Paper Talk Copies</t>
  </si>
  <si>
    <t>Turn in Talk Manual if finished preparing talk</t>
  </si>
  <si>
    <t>Team Sleeping Downstairs</t>
  </si>
  <si>
    <t>SAT. SCHEDULE</t>
  </si>
  <si>
    <t>(LAST NIGHT for book table suggestions!))</t>
  </si>
  <si>
    <t>THU./FRI. SCHEDULE</t>
  </si>
  <si>
    <t>Read the Emmaus Road Story - Luke 24:13-23</t>
  </si>
  <si>
    <t>DYING MOMENTS &amp; CLOSING</t>
  </si>
  <si>
    <t>Walkthrough and talk-through in the Sanctuary</t>
  </si>
  <si>
    <t>Thursday Team Meeting #5</t>
  </si>
  <si>
    <t>Thursday Team Meeting #1</t>
  </si>
  <si>
    <t>Thursday Team Meeting #2</t>
  </si>
  <si>
    <t>Thursday Team Meeting #3</t>
  </si>
  <si>
    <t>Thursday Team Meeting #4</t>
  </si>
  <si>
    <t>Thursday Team Meeting #6</t>
  </si>
  <si>
    <t>Saturday Team Meeting</t>
  </si>
  <si>
    <t>(Circulate prayer concerns list, and team agape</t>
  </si>
  <si>
    <t>a manila envelope (provided) for your keeping)</t>
  </si>
  <si>
    <t>Turn in all Talk Manuals and Team Manuals</t>
  </si>
  <si>
    <t>Take notes as though you were on a Walk, but also note where the speaker did things well,</t>
  </si>
  <si>
    <t>Clergy - Previenient</t>
  </si>
  <si>
    <t>Clergy - Justifying</t>
  </si>
  <si>
    <t>Clergy - Obstacles</t>
  </si>
  <si>
    <t>Clergy - Sanctifying</t>
  </si>
  <si>
    <t>Priority Talk</t>
  </si>
  <si>
    <t>Arrears - SD</t>
  </si>
  <si>
    <t>Arrears - Asst. SD</t>
  </si>
  <si>
    <t>Clergy</t>
  </si>
  <si>
    <t>Arrears - LD</t>
  </si>
  <si>
    <t>Arrears - ALD</t>
  </si>
  <si>
    <t>Arrears - Board Rep.</t>
  </si>
  <si>
    <t>Arrears - TD</t>
  </si>
  <si>
    <t>Arrears - Asst. TD</t>
  </si>
  <si>
    <t>Arrears - MD</t>
  </si>
  <si>
    <t>Arrears - Asst. MD</t>
  </si>
  <si>
    <t>Street Address</t>
  </si>
  <si>
    <t>City</t>
  </si>
  <si>
    <t>State</t>
  </si>
  <si>
    <t>Zip</t>
  </si>
  <si>
    <t>Phone</t>
  </si>
  <si>
    <t>e-mail</t>
  </si>
  <si>
    <t>Emergency Contact 1</t>
  </si>
  <si>
    <t>Emergency Contact 2</t>
  </si>
  <si>
    <t>Emergency Contact 3</t>
  </si>
  <si>
    <t>(Circulate team roster privacy &amp; emergency contact</t>
  </si>
  <si>
    <t>forms, prayer concerns, &amp; book suggestion lists)</t>
  </si>
  <si>
    <t>Lift Up In Prayer - Team Members by Name, and Pilgrims - known and unknown</t>
  </si>
  <si>
    <t xml:space="preserve">  to update your Share Group information</t>
  </si>
  <si>
    <t xml:space="preserve">  (Prayer Partners, Scripture References, etc.)</t>
  </si>
  <si>
    <t xml:space="preserve">   (or copy the paper form in your talk manual)</t>
  </si>
  <si>
    <t>Lists: Talk Information</t>
  </si>
  <si>
    <t>mw</t>
  </si>
  <si>
    <t>(team dietary &amp; logistical needs, &amp; prayer concerns)</t>
  </si>
  <si>
    <t>TL - Table 1</t>
  </si>
  <si>
    <t>TL - Table 2</t>
  </si>
  <si>
    <t>TL - Table 3</t>
  </si>
  <si>
    <t>TL - Table 4</t>
  </si>
  <si>
    <t>TL - Table 5</t>
  </si>
  <si>
    <t>TL - Table 6</t>
  </si>
  <si>
    <t>ATL - Table 1</t>
  </si>
  <si>
    <t>ATL - Table 2</t>
  </si>
  <si>
    <t>ATL - Table 3</t>
  </si>
  <si>
    <t>ATL - Table 4</t>
  </si>
  <si>
    <t>ATL - Table 5</t>
  </si>
  <si>
    <t>ATL - Table 6</t>
  </si>
  <si>
    <t>Men's Walk or Women's Walk designation (mw OR ww) -&gt;</t>
  </si>
  <si>
    <t>Take notes as though you were on the Walk, but also note where the speaker did things well,</t>
  </si>
  <si>
    <t>Communion Elements/Cross Ceremony</t>
  </si>
  <si>
    <t>Person who reads intro is the secretary -- records comments on Critique Sheet</t>
  </si>
  <si>
    <t>If a role is not filled for this team (e.g. Music Director 2, etc.), DO NOT DELETE THE ROW; just 'clear' the associated 'First Name' and 'Last Name' cells (do a right-click on the cells and select 'Clear Contents').</t>
  </si>
  <si>
    <t>Microphone ALD introduces ("With a clean sheet of paper…")</t>
  </si>
  <si>
    <t>Speaker previews talk - Microphone ALD should check watch and record the preview start time as speaker begins</t>
  </si>
  <si>
    <t>Talk critique - Microphone ALD facilitates discussion using Critique Sheet from Local Walk Manual</t>
  </si>
  <si>
    <t xml:space="preserve">You may change around the assigned Table Leader talks in the 'Talk Name' column on the 'Previews' worksheet (to affect when individuals will be previewing), </t>
  </si>
  <si>
    <r>
      <t xml:space="preserve">Once the Team's 'First Names' and 'Last Names',' and 'Talk Names' have been filled in, confirm that the 'Previews' and 'Schedule' tabs look correct, and adjust as necessary (see </t>
    </r>
    <r>
      <rPr>
        <b/>
        <sz val="10"/>
        <rFont val="Arial"/>
        <family val="2"/>
      </rPr>
      <t>NOTES</t>
    </r>
    <r>
      <rPr>
        <sz val="10"/>
        <rFont val="Arial"/>
        <family val="2"/>
      </rPr>
      <t xml:space="preserve"> below).</t>
    </r>
  </si>
  <si>
    <t>See the 'Previews' worksheet for more information.</t>
  </si>
  <si>
    <t>Table Name</t>
  </si>
  <si>
    <t/>
  </si>
  <si>
    <r>
      <t xml:space="preserve">Please check your information for accuracy: Name, Address, Phone, and Email Address </t>
    </r>
    <r>
      <rPr>
        <sz val="11"/>
        <rFont val="Arial"/>
        <family val="2"/>
      </rPr>
      <t>(indicate corrections by crossing out and putting the correct information to the right)</t>
    </r>
  </si>
  <si>
    <r>
      <t>Initial here if your information is correct(ed)</t>
    </r>
    <r>
      <rPr>
        <b/>
        <sz val="10"/>
        <rFont val="Arial"/>
        <family val="2"/>
      </rPr>
      <t xml:space="preserve"> </t>
    </r>
    <r>
      <rPr>
        <b/>
        <i/>
        <sz val="10"/>
        <rFont val="Arial"/>
        <family val="2"/>
      </rPr>
      <t xml:space="preserve">AND you give permission to include this information in the published Walk roster. </t>
    </r>
    <r>
      <rPr>
        <sz val="10"/>
        <rFont val="Arial"/>
        <family val="2"/>
      </rPr>
      <t>No email addresses will be published.</t>
    </r>
  </si>
  <si>
    <r>
      <t>Initial here if your information is correct(ed)</t>
    </r>
    <r>
      <rPr>
        <b/>
        <sz val="10"/>
        <rFont val="Arial"/>
        <family val="2"/>
      </rPr>
      <t xml:space="preserve"> </t>
    </r>
    <r>
      <rPr>
        <b/>
        <i/>
        <sz val="10"/>
        <rFont val="Arial"/>
        <family val="2"/>
      </rPr>
      <t xml:space="preserve">AND you DO NOT give permission to include this information in the published Walk roster. </t>
    </r>
    <r>
      <rPr>
        <sz val="10"/>
        <rFont val="Arial"/>
        <family val="2"/>
      </rPr>
      <t xml:space="preserve">Your name </t>
    </r>
    <r>
      <rPr>
        <b/>
        <i/>
        <sz val="10"/>
        <rFont val="Arial"/>
        <family val="2"/>
      </rPr>
      <t>will</t>
    </r>
    <r>
      <rPr>
        <sz val="10"/>
        <rFont val="Arial"/>
        <family val="2"/>
      </rPr>
      <t xml:space="preserve"> be included in the roster, but no other listed information will be included.</t>
    </r>
  </si>
  <si>
    <t>LIGHT SNACK</t>
  </si>
  <si>
    <t>Tracy Van Winkle</t>
  </si>
  <si>
    <t>REMINDERS</t>
  </si>
  <si>
    <t>FORMS/HANDOUTS</t>
  </si>
  <si>
    <r>
      <t xml:space="preserve">Use the </t>
    </r>
    <r>
      <rPr>
        <u/>
        <sz val="13"/>
        <rFont val="Times New Roman"/>
        <family val="1"/>
      </rPr>
      <t>online</t>
    </r>
    <r>
      <rPr>
        <sz val="13"/>
        <rFont val="Times New Roman"/>
        <family val="1"/>
      </rPr>
      <t xml:space="preserve"> Share Group Survey (</t>
    </r>
    <r>
      <rPr>
        <b/>
        <sz val="13"/>
        <rFont val="Times New Roman"/>
        <family val="1"/>
      </rPr>
      <t>https://new-arkemmaus.org/fourth-day/share-groups)</t>
    </r>
  </si>
  <si>
    <r>
      <rPr>
        <sz val="13"/>
        <rFont val="Times New Roman"/>
        <family val="1"/>
      </rPr>
      <t xml:space="preserve">page link:  </t>
    </r>
    <r>
      <rPr>
        <b/>
        <sz val="13"/>
        <rFont val="Times New Roman"/>
        <family val="1"/>
      </rPr>
      <t>https://new-arkemmaus.org/team/wte</t>
    </r>
  </si>
  <si>
    <t>Meeting #1 Agenda (enough copies for all team members)</t>
  </si>
  <si>
    <t>Meeting #2 Agenda (enough copies for all team members)</t>
  </si>
  <si>
    <t>Team Roster Privacy &amp; Team Emergency Contact forms (prev week's)</t>
  </si>
  <si>
    <r>
      <t>send (</t>
    </r>
    <r>
      <rPr>
        <b/>
        <sz val="13"/>
        <rFont val="Times New Roman"/>
        <family val="1"/>
      </rPr>
      <t>2</t>
    </r>
    <r>
      <rPr>
        <sz val="13"/>
        <rFont val="Times New Roman"/>
        <family val="1"/>
      </rPr>
      <t>) names/email addrs to Agape and Logistics</t>
    </r>
  </si>
  <si>
    <t>Meeting #3 Agenda (enough copies for all team members)</t>
  </si>
  <si>
    <t>Book Table Suggestion forms (prev week's)</t>
  </si>
  <si>
    <t>NOTES</t>
  </si>
  <si>
    <t>Pilgrim Update (from Registrar - enough copies for all team members)</t>
  </si>
  <si>
    <r>
      <t xml:space="preserve">Recruit </t>
    </r>
    <r>
      <rPr>
        <u/>
        <sz val="13"/>
        <rFont val="Times New Roman"/>
        <family val="1"/>
      </rPr>
      <t>only 2</t>
    </r>
    <r>
      <rPr>
        <sz val="13"/>
        <rFont val="Times New Roman"/>
        <family val="1"/>
      </rPr>
      <t xml:space="preserve"> volunteers who will sleep in the pilgrims’ quarters -</t>
    </r>
  </si>
  <si>
    <r>
      <t xml:space="preserve">it is </t>
    </r>
    <r>
      <rPr>
        <u/>
        <sz val="13"/>
        <rFont val="Times New Roman"/>
        <family val="1"/>
      </rPr>
      <t>not</t>
    </r>
    <r>
      <rPr>
        <sz val="13"/>
        <rFont val="Times New Roman"/>
        <family val="1"/>
      </rPr>
      <t xml:space="preserve"> 1 per pilgrim sleeping room; volunteers' names and email</t>
    </r>
  </si>
  <si>
    <t>addresses need to be sent to the Agape and Logistics Chairpersons</t>
  </si>
  <si>
    <t>forms, book suggestion &amp; prayer concerns lists;</t>
  </si>
  <si>
    <t>PILGRIM UPDATE - Call sheet assignments</t>
  </si>
  <si>
    <t>MUSIC (IF TIME PERMITS) -- OR -- (Women's Walk) skit discussion/preparation</t>
  </si>
  <si>
    <t>for Agape, Kitchen, Logistics, host church, etc.)</t>
  </si>
  <si>
    <t>FINAL REMINDERS</t>
  </si>
  <si>
    <t xml:space="preserve">     Information Sheet Reports and Calls (hand in completed pilgrim sheets)</t>
  </si>
  <si>
    <t xml:space="preserve">     Table assignments (acquaintances - who knows whom? pilgrims and team)</t>
  </si>
  <si>
    <t>for Agape, Kitchen, Logistics, host church, etc.</t>
  </si>
  <si>
    <t>(Women's Walk) TIME WITH OPPOSITE WALK PRAYER PARTNERS IN SANCTUARY</t>
  </si>
  <si>
    <t>(Men's Walk) TIME WITH OPPOSITE WALK PRAYER PARTNERS IN SANCTUARY</t>
  </si>
  <si>
    <r>
      <rPr>
        <b/>
        <u/>
        <sz val="10"/>
        <rFont val="Arial"/>
        <family val="2"/>
      </rPr>
      <t>NOTE</t>
    </r>
    <r>
      <rPr>
        <sz val="10"/>
        <rFont val="Arial"/>
        <family val="2"/>
      </rPr>
      <t xml:space="preserve"> that the corresponding 'Prep-Mtg#X' for each 'Mtg#X' agenda contains information to help prepare for the meeting (printouts needed, etc.)</t>
    </r>
  </si>
  <si>
    <t>Book Table Suggestion forms (prev week's) - LAST WEEK for input</t>
  </si>
  <si>
    <t>(Women's Walk) Optional - handout for skit planning/discussion</t>
  </si>
  <si>
    <t>Team Dietary Needs &amp; Team Logistical Needs (Walk_LDForms folder)</t>
  </si>
  <si>
    <t>Prayer Concerns (1 new - Walk_LDForms)</t>
  </si>
  <si>
    <t>The following persons have responsibilities at this meeting:</t>
  </si>
  <si>
    <t>Meeting #4 Agenda (enough copies for all team members)</t>
  </si>
  <si>
    <t>Meeting #5 Agenda (enough copies for all team members)</t>
  </si>
  <si>
    <t>(Share BR's role &amp; responsibilities)</t>
  </si>
  <si>
    <t>First, go to 'TeamInfo' tab and fill in the 'Walk Name/Number'', and the 'Table Names'.</t>
  </si>
  <si>
    <t>Speaker Training, Walk Orientation, Arrears Meeting</t>
  </si>
  <si>
    <t>Speaker Training</t>
  </si>
  <si>
    <t>Walk Orientation</t>
  </si>
  <si>
    <t>Arrears Meeting</t>
  </si>
  <si>
    <r>
      <t>o</t>
    </r>
    <r>
      <rPr>
        <sz val="7"/>
        <rFont val="Times New Roman"/>
        <family val="1"/>
      </rPr>
      <t xml:space="preserve">       </t>
    </r>
    <r>
      <rPr>
        <sz val="12"/>
        <rFont val="Times New Roman"/>
        <family val="1"/>
      </rPr>
      <t>If possible, please pay at Team Meeting #1; if there is a concern, please call your Lay Director</t>
    </r>
  </si>
  <si>
    <r>
      <t>·</t>
    </r>
    <r>
      <rPr>
        <sz val="7"/>
        <rFont val="Times New Roman"/>
        <family val="1"/>
      </rPr>
      <t>    </t>
    </r>
    <r>
      <rPr>
        <b/>
        <u/>
        <sz val="7"/>
        <rFont val="Times New Roman"/>
        <family val="1"/>
      </rPr>
      <t> </t>
    </r>
    <r>
      <rPr>
        <b/>
        <u/>
        <sz val="12"/>
        <rFont val="Times New Roman"/>
        <family val="1"/>
      </rPr>
      <t>As directed</t>
    </r>
    <r>
      <rPr>
        <sz val="12"/>
        <rFont val="Times New Roman"/>
        <family val="1"/>
      </rPr>
      <t>, provide bag(s) of candy and/or snacks (at team meeting #5 or later)</t>
    </r>
  </si>
  <si>
    <r>
      <t>·</t>
    </r>
    <r>
      <rPr>
        <sz val="7"/>
        <rFont val="Times New Roman"/>
        <family val="1"/>
      </rPr>
      <t>     </t>
    </r>
    <r>
      <rPr>
        <b/>
        <u/>
        <sz val="12"/>
        <rFont val="Times New Roman"/>
        <family val="1"/>
      </rPr>
      <t>As directed</t>
    </r>
    <r>
      <rPr>
        <sz val="12"/>
        <rFont val="Times New Roman"/>
        <family val="1"/>
      </rPr>
      <t>, bring bottled water or 1 two-liter bottle of a name-brand soda (at team meeting #5 or later)</t>
    </r>
  </si>
  <si>
    <r>
      <t>·</t>
    </r>
    <r>
      <rPr>
        <sz val="7"/>
        <rFont val="Times New Roman"/>
        <family val="1"/>
      </rPr>
      <t>     </t>
    </r>
    <r>
      <rPr>
        <sz val="12"/>
        <rFont val="Times New Roman"/>
        <family val="1"/>
      </rPr>
      <t>Pay a $80.00 Team Fee (optional: add $5 for the team scholarship fund); checks payable to 'New-Ark Area Emmaus</t>
    </r>
  </si>
  <si>
    <t>Schedule of Walk Meetings and Activities</t>
  </si>
  <si>
    <t>SPEAKER TRAINING</t>
  </si>
  <si>
    <t>WALK ORIENTATION</t>
  </si>
  <si>
    <t>ARREARS MEETING</t>
  </si>
  <si>
    <t>7 Team Meetings (format MM/DD/YYYY)</t>
  </si>
  <si>
    <t>January 1, 6:00 PM</t>
  </si>
  <si>
    <t>January 8, 6:00 PM</t>
  </si>
  <si>
    <t>January 15, 6:00 PM</t>
  </si>
  <si>
    <t>Arrears Meeting Agenda</t>
  </si>
  <si>
    <t>Pilgrim Call Sheets (from Registrar - 1 copy of each sheet to assign)</t>
  </si>
  <si>
    <t>Walk &amp; Meeting Dates:</t>
  </si>
  <si>
    <t>Walk Dates</t>
  </si>
  <si>
    <t>for all Walk lay speakers</t>
  </si>
  <si>
    <t>for all team members</t>
  </si>
  <si>
    <t>March 22 - 25, 2000</t>
  </si>
  <si>
    <t>WALK DATES</t>
  </si>
  <si>
    <t>for LD, SD(s), BR, ALDs</t>
  </si>
  <si>
    <t>Next, enter the dates of the 'Arrears Meeting', 'Speaker Training', 'Walk Orientation', and '7 Team Meetings'  (for the Team Meetings, enter the Saturday Meeting date last).</t>
  </si>
  <si>
    <t>Finally, fill in the team members' 'First Names' and 'Last Names', and their assigned 'Talk Names'.</t>
  </si>
  <si>
    <t>Team Roster Privacy &amp; Team Emergency Contact forms</t>
  </si>
  <si>
    <r>
      <t xml:space="preserve"> (print from the </t>
    </r>
    <r>
      <rPr>
        <b/>
        <i/>
        <sz val="13"/>
        <rFont val="Times New Roman"/>
        <family val="1"/>
      </rPr>
      <t>Prt-Privacy</t>
    </r>
    <r>
      <rPr>
        <sz val="13"/>
        <rFont val="Times New Roman"/>
        <family val="1"/>
      </rPr>
      <t xml:space="preserve"> &amp; </t>
    </r>
    <r>
      <rPr>
        <b/>
        <i/>
        <sz val="13"/>
        <rFont val="Times New Roman"/>
        <family val="1"/>
      </rPr>
      <t>Prt-Emergency</t>
    </r>
    <r>
      <rPr>
        <sz val="13"/>
        <rFont val="Times New Roman"/>
        <family val="1"/>
      </rPr>
      <t xml:space="preserve"> tabs in this file)</t>
    </r>
  </si>
  <si>
    <t>Read Team Conduct on the Weekend in UR Team Manual pages 17 thru 18</t>
  </si>
  <si>
    <t>Read Chapter Two of Sustaining the Spirit in Upper Room Team Manuals</t>
  </si>
  <si>
    <t>Review Walk Weekend Thursday &amp; Friday Schedules (Team Manual - Instructions &amp; Reminders)</t>
  </si>
  <si>
    <t>Review Walk Weekend Saturday Schedule (Team Manual - Instructions &amp; Reminders)</t>
  </si>
  <si>
    <t>Schedule available for print on the Team web page</t>
  </si>
  <si>
    <t>Review Walk Weekend Sunday Schedule (Team Manual - Instructions &amp; Reminders)</t>
  </si>
  <si>
    <t>Share BR's role - Role information from BR manual</t>
  </si>
  <si>
    <t>Comm. LD (include if not given at orientation mtg)</t>
  </si>
  <si>
    <t>1 emergency backup copy</t>
  </si>
  <si>
    <t>Need two volunteers to sleep in the Pilgrims' rooms during the Walk -- let Walk LD know</t>
  </si>
  <si>
    <r>
      <rPr>
        <u/>
        <sz val="13"/>
        <rFont val="Times New Roman"/>
        <family val="1"/>
      </rPr>
      <t>PREFERRED: Use the ONLINE form</t>
    </r>
    <r>
      <rPr>
        <sz val="13"/>
        <rFont val="Times New Roman"/>
        <family val="1"/>
      </rPr>
      <t xml:space="preserve"> via the team</t>
    </r>
  </si>
  <si>
    <r>
      <t>PREFERRED: Use the ONLINE form</t>
    </r>
    <r>
      <rPr>
        <sz val="13"/>
        <rFont val="Times New Roman"/>
        <family val="1"/>
      </rPr>
      <t xml:space="preserve"> via the team</t>
    </r>
  </si>
  <si>
    <t>(Put team meeting agendas and your notes into</t>
  </si>
  <si>
    <t xml:space="preserve"> 'Walk Team Reminders' review</t>
  </si>
  <si>
    <t>Book Table Suggestions, &amp; Prayer Concerns (File Box / WalkLDForms)</t>
  </si>
  <si>
    <t>Prayer Concerns (1 new - LD File Box / Walk_LDForms)</t>
  </si>
  <si>
    <t>After the meeting, have someone scan the prayer concerns form and email to the team.</t>
  </si>
  <si>
    <t>Saturday Meeting Agenda (enough copies for all team members)</t>
  </si>
  <si>
    <t>(Circulate team dietary &amp; logistical needs forms,</t>
  </si>
  <si>
    <t>prayer concerns, &amp; book suggestion lists)</t>
  </si>
  <si>
    <t>Team Dietary Needs &amp; Team Logistical Needs (prev week's)</t>
  </si>
  <si>
    <t>prayer concerns, &amp; book suggestion lists</t>
  </si>
  <si>
    <t>(LAST NIGHT for dietary &amp; logistical needs!)</t>
  </si>
  <si>
    <t>Walk Role</t>
  </si>
  <si>
    <t>First Name</t>
  </si>
  <si>
    <t>Last Name</t>
  </si>
  <si>
    <r>
      <rPr>
        <sz val="10"/>
        <rFont val="Arial"/>
      </rPr>
      <t>and the Communications Team (</t>
    </r>
    <r>
      <rPr>
        <b/>
        <sz val="10"/>
        <rFont val="Arial"/>
        <family val="2"/>
      </rPr>
      <t>communications@new-arkemmaus.org</t>
    </r>
    <r>
      <rPr>
        <sz val="10"/>
        <rFont val="Arial"/>
      </rPr>
      <t>) so that they may complete the website's public Walk Team Roster.</t>
    </r>
  </si>
  <si>
    <r>
      <t xml:space="preserve">The Registrar will also need the </t>
    </r>
    <r>
      <rPr>
        <b/>
        <u/>
        <sz val="10"/>
        <rFont val="Arial"/>
        <family val="2"/>
      </rPr>
      <t>printed copies</t>
    </r>
    <r>
      <rPr>
        <b/>
        <sz val="10"/>
        <rFont val="Arial"/>
        <family val="2"/>
      </rPr>
      <t xml:space="preserve"> of the TeamRosterPrivacy worksheets that team members (including clergy) have initialed (leave in the Emmaus mailbox, attn. Registrar)</t>
    </r>
  </si>
  <si>
    <t>NO LATER THAN 1 WEEK BEFORE THE WALK.</t>
  </si>
  <si>
    <t>In addition to automatically generating team agendas, etc., this file is used to provide the team's roster and emergency contact information to the Registrar and Communications.</t>
  </si>
  <si>
    <r>
      <t xml:space="preserve">For that reason, </t>
    </r>
    <r>
      <rPr>
        <b/>
        <u/>
        <sz val="10"/>
        <rFont val="Arial"/>
        <family val="2"/>
      </rPr>
      <t>no changes to the layout or format of the TeamInfo or Prt-Roster tabs should be made.</t>
    </r>
  </si>
  <si>
    <r>
      <t>Once the names, and talk/table assignments have been made, please</t>
    </r>
    <r>
      <rPr>
        <b/>
        <sz val="10"/>
        <rFont val="Arial"/>
        <family val="2"/>
      </rPr>
      <t xml:space="preserve"> email a copy of this file</t>
    </r>
    <r>
      <rPr>
        <sz val="10"/>
        <rFont val="Arial"/>
      </rPr>
      <t xml:space="preserve"> to the Registrar (</t>
    </r>
    <r>
      <rPr>
        <b/>
        <sz val="10"/>
        <rFont val="Arial"/>
        <family val="2"/>
      </rPr>
      <t>registrar@new-arkemmaus.org</t>
    </r>
    <r>
      <rPr>
        <sz val="10"/>
        <rFont val="Arial"/>
      </rPr>
      <t>)</t>
    </r>
  </si>
  <si>
    <r>
      <t xml:space="preserve">Updates to the team members' </t>
    </r>
    <r>
      <rPr>
        <b/>
        <sz val="10"/>
        <rFont val="Arial"/>
        <family val="2"/>
      </rPr>
      <t>personal contact information</t>
    </r>
    <r>
      <rPr>
        <sz val="10"/>
        <rFont val="Arial"/>
        <family val="2"/>
      </rPr>
      <t xml:space="preserve"> (home address, email, phone) and </t>
    </r>
    <r>
      <rPr>
        <b/>
        <sz val="10"/>
        <rFont val="Arial"/>
        <family val="2"/>
      </rPr>
      <t>emergency contact information</t>
    </r>
    <r>
      <rPr>
        <sz val="10"/>
        <rFont val="Arial"/>
        <family val="2"/>
      </rPr>
      <t xml:space="preserve"> are entered into the </t>
    </r>
    <r>
      <rPr>
        <b/>
        <sz val="10"/>
        <rFont val="Arial"/>
        <family val="2"/>
      </rPr>
      <t xml:space="preserve">TeamInfo tab </t>
    </r>
    <r>
      <rPr>
        <sz val="10"/>
        <rFont val="Arial"/>
        <family val="2"/>
      </rPr>
      <t>of this file.</t>
    </r>
  </si>
  <si>
    <t>*** Once all of the Team Roster and Emergency Contact information has been corrected via input from the team members and entered into the TeamInfo tab of this file,</t>
  </si>
  <si>
    <r>
      <t>Ø</t>
    </r>
    <r>
      <rPr>
        <sz val="13"/>
        <rFont val="Times New Roman"/>
        <family val="1"/>
      </rPr>
      <t>      Occupation</t>
    </r>
  </si>
  <si>
    <t>(distribute manuals to those not at orientation)</t>
  </si>
  <si>
    <t>(persons not at the Team Orientation)</t>
  </si>
  <si>
    <t>please email a copy of the file to the Registrar and Communications Team NO LATER THAN 2 WEEKS BEFORE THE WALK.***</t>
  </si>
  <si>
    <t>Questions about this form may be directed to the Leadership Chairperson.</t>
  </si>
  <si>
    <t>Team sings "Sing Alleluia" (except before 'Priority' talk)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</si>
</sst>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409]mmmm\ d\,\ yyyy;@"/>
    <numFmt numFmtId="165" formatCode="mmmm\ d"/>
    <numFmt numFmtId="166" formatCode="m/d/yyyy;@"/>
    <numFmt numFmtId="167" formatCode="mm/dd/yy;@"/>
  </numFmts>
  <fonts count="37" x14ac:knownFonts="1">
    <font>
      <sz val="10"/>
      <name val="Arial"/>
    </font>
    <font>
      <sz val="12"/>
      <name val="Times New Roman"/>
      <family val="1"/>
    </font>
    <font>
      <b/>
      <sz val="14"/>
      <name val="Times New Roman"/>
      <family val="1"/>
    </font>
    <font>
      <sz val="12"/>
      <name val="Symbol"/>
      <family val="1"/>
      <charset val="2"/>
    </font>
    <font>
      <sz val="7"/>
      <name val="Times New Roman"/>
      <family val="1"/>
    </font>
    <font>
      <sz val="12"/>
      <name val="Courier New"/>
      <family val="3"/>
    </font>
    <font>
      <sz val="8"/>
      <name val="Arial"/>
      <family val="2"/>
    </font>
    <font>
      <b/>
      <sz val="12"/>
      <name val="Wingdings"/>
      <charset val="2"/>
    </font>
    <font>
      <b/>
      <sz val="11"/>
      <name val="Times New Roman"/>
      <family val="1"/>
    </font>
    <font>
      <b/>
      <sz val="8"/>
      <name val="Times New Roman"/>
      <family val="1"/>
    </font>
    <font>
      <sz val="11"/>
      <name val="Times New Roman"/>
      <family val="1"/>
    </font>
    <font>
      <b/>
      <sz val="10"/>
      <name val="Arial"/>
      <family val="2"/>
    </font>
    <font>
      <b/>
      <sz val="12"/>
      <name val="Times New Roman"/>
      <family val="1"/>
    </font>
    <font>
      <sz val="10"/>
      <name val="Arial"/>
      <family val="2"/>
    </font>
    <font>
      <sz val="10"/>
      <name val="Arial"/>
      <family val="2"/>
    </font>
    <font>
      <b/>
      <sz val="10.5"/>
      <name val="Times New Roman"/>
      <family val="1"/>
    </font>
    <font>
      <sz val="10.5"/>
      <name val="Times New Roman"/>
      <family val="1"/>
    </font>
    <font>
      <b/>
      <u/>
      <sz val="10"/>
      <name val="Arial"/>
      <family val="2"/>
    </font>
    <font>
      <sz val="8"/>
      <name val="Arial"/>
      <family val="2"/>
    </font>
    <font>
      <sz val="13"/>
      <name val="Times New Roman"/>
      <family val="1"/>
    </font>
    <font>
      <b/>
      <sz val="13"/>
      <name val="Times New Roman"/>
      <family val="1"/>
    </font>
    <font>
      <sz val="13"/>
      <name val="Wingdings"/>
      <charset val="2"/>
    </font>
    <font>
      <sz val="13"/>
      <name val="Arial"/>
      <family val="2"/>
    </font>
    <font>
      <b/>
      <sz val="12"/>
      <name val="Arial"/>
      <family val="2"/>
    </font>
    <font>
      <sz val="12"/>
      <name val="Arial"/>
      <family val="2"/>
    </font>
    <font>
      <sz val="14"/>
      <name val="Times New Roman"/>
      <family val="1"/>
    </font>
    <font>
      <sz val="11.5"/>
      <name val="Times New Roman"/>
      <family val="1"/>
    </font>
    <font>
      <u/>
      <sz val="13"/>
      <name val="Times New Roman"/>
      <family val="1"/>
    </font>
    <font>
      <sz val="11"/>
      <name val="Arial"/>
      <family val="2"/>
    </font>
    <font>
      <b/>
      <sz val="11"/>
      <name val="Arial"/>
      <family val="2"/>
    </font>
    <font>
      <b/>
      <i/>
      <sz val="10"/>
      <name val="Arial"/>
      <family val="2"/>
    </font>
    <font>
      <b/>
      <u/>
      <sz val="12"/>
      <name val="Times New Roman"/>
      <family val="1"/>
    </font>
    <font>
      <b/>
      <u/>
      <sz val="7"/>
      <name val="Times New Roman"/>
      <family val="1"/>
    </font>
    <font>
      <u/>
      <sz val="8"/>
      <color theme="10"/>
      <name val="Arial"/>
    </font>
    <font>
      <b/>
      <i/>
      <sz val="13"/>
      <name val="Times New Roman"/>
      <family val="1"/>
    </font>
    <font>
      <sz val="12.5"/>
      <name val="Times New Roman"/>
      <family val="1"/>
    </font>
    <font>
      <b/>
      <sz val="14"/>
      <name val="Arial"/>
      <family val="2"/>
    </font>
  </fonts>
  <fills count="6">
    <fill>
      <patternFill patternType="none"/>
    </fill>
    <fill>
      <patternFill patternType="gray125"/>
    </fill>
    <fill>
      <patternFill patternType="solid">
        <fgColor indexed="13"/>
        <bgColor indexed="64"/>
      </patternFill>
    </fill>
    <fill>
      <patternFill patternType="solid">
        <fgColor indexed="11"/>
        <bgColor indexed="64"/>
      </patternFill>
    </fill>
    <fill>
      <patternFill patternType="solid">
        <fgColor rgb="FFFFFF00"/>
        <bgColor indexed="64"/>
      </patternFill>
    </fill>
    <fill>
      <patternFill patternType="solid">
        <fgColor rgb="FF00FF00"/>
        <bgColor indexed="64"/>
      </patternFill>
    </fill>
  </fills>
  <borders count="26">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style="medium">
        <color indexed="64"/>
      </top>
      <bottom/>
      <diagonal/>
    </border>
  </borders>
  <cellStyleXfs count="2">
    <xf numFmtId="0" fontId="0" fillId="0" borderId="0"/>
    <xf numFmtId="0" fontId="33" fillId="0" borderId="0" applyNumberFormat="0" applyFill="0" applyBorder="0" applyAlignment="0" applyProtection="0">
      <alignment vertical="top"/>
      <protection locked="0"/>
    </xf>
  </cellStyleXfs>
  <cellXfs count="290">
    <xf numFmtId="0" fontId="0" fillId="0" borderId="0" xfId="0"/>
    <xf numFmtId="0" fontId="0" fillId="0" borderId="0" xfId="0" applyAlignment="1">
      <alignment horizontal="center"/>
    </xf>
    <xf numFmtId="0" fontId="1" fillId="0" borderId="0" xfId="0" applyFont="1"/>
    <xf numFmtId="0" fontId="1" fillId="0" borderId="1" xfId="0" applyFont="1" applyBorder="1" applyAlignment="1">
      <alignment horizontal="center" vertical="top" wrapText="1"/>
    </xf>
    <xf numFmtId="0" fontId="1" fillId="0" borderId="2" xfId="0" applyFont="1" applyBorder="1" applyAlignment="1">
      <alignment horizontal="center" vertical="top" wrapText="1"/>
    </xf>
    <xf numFmtId="0" fontId="0" fillId="0" borderId="3" xfId="0" applyBorder="1" applyAlignment="1">
      <alignment vertical="top" wrapText="1"/>
    </xf>
    <xf numFmtId="0" fontId="1" fillId="0" borderId="4" xfId="0" applyFont="1" applyBorder="1" applyAlignment="1">
      <alignment horizontal="center" vertical="top" wrapText="1"/>
    </xf>
    <xf numFmtId="0" fontId="1" fillId="0" borderId="5" xfId="0" applyFont="1" applyBorder="1" applyAlignment="1">
      <alignment horizontal="center" vertical="top" wrapText="1"/>
    </xf>
    <xf numFmtId="0" fontId="0" fillId="0" borderId="3" xfId="0" applyBorder="1"/>
    <xf numFmtId="0" fontId="0" fillId="0" borderId="2" xfId="0" applyBorder="1"/>
    <xf numFmtId="0" fontId="1" fillId="0" borderId="3" xfId="0" applyFont="1" applyBorder="1" applyAlignment="1">
      <alignment horizontal="center" vertical="top" wrapText="1"/>
    </xf>
    <xf numFmtId="0" fontId="2" fillId="0" borderId="0" xfId="0" applyFont="1"/>
    <xf numFmtId="0" fontId="1" fillId="0" borderId="0" xfId="0" applyFont="1" applyAlignment="1">
      <alignment vertical="top" wrapText="1"/>
    </xf>
    <xf numFmtId="0" fontId="1" fillId="0" borderId="0" xfId="0" applyFont="1" applyAlignment="1">
      <alignment horizontal="center" vertical="top" wrapText="1"/>
    </xf>
    <xf numFmtId="0" fontId="7" fillId="0" borderId="0" xfId="0" applyFont="1" applyAlignment="1">
      <alignment horizontal="left" indent="2"/>
    </xf>
    <xf numFmtId="0" fontId="1" fillId="0" borderId="0" xfId="0" applyFont="1" applyAlignment="1">
      <alignment horizontal="left" indent="4"/>
    </xf>
    <xf numFmtId="0" fontId="9" fillId="0" borderId="0" xfId="0" applyFont="1"/>
    <xf numFmtId="0" fontId="11" fillId="0" borderId="0" xfId="0" applyFont="1" applyAlignment="1">
      <alignment horizontal="center"/>
    </xf>
    <xf numFmtId="0" fontId="1" fillId="0" borderId="0" xfId="0" applyFont="1" applyAlignment="1">
      <alignment horizontal="left"/>
    </xf>
    <xf numFmtId="0" fontId="3" fillId="0" borderId="0" xfId="0" applyFont="1" applyAlignment="1">
      <alignment horizontal="left" indent="6"/>
    </xf>
    <xf numFmtId="0" fontId="1" fillId="0" borderId="0" xfId="0" applyFont="1" applyAlignment="1">
      <alignment horizontal="left" indent="6"/>
    </xf>
    <xf numFmtId="0" fontId="2" fillId="0" borderId="0" xfId="0" applyFont="1" applyAlignment="1">
      <alignment horizontal="center"/>
    </xf>
    <xf numFmtId="0" fontId="12" fillId="0" borderId="0" xfId="0" applyFont="1"/>
    <xf numFmtId="0" fontId="13" fillId="0" borderId="0" xfId="0" applyFont="1"/>
    <xf numFmtId="0" fontId="9" fillId="2" borderId="0" xfId="0" applyFont="1" applyFill="1"/>
    <xf numFmtId="0" fontId="0" fillId="2" borderId="0" xfId="0" applyFill="1"/>
    <xf numFmtId="0" fontId="0" fillId="0" borderId="6" xfId="0" applyBorder="1"/>
    <xf numFmtId="0" fontId="0" fillId="0" borderId="6" xfId="0" applyBorder="1" applyAlignment="1">
      <alignment horizontal="center"/>
    </xf>
    <xf numFmtId="0" fontId="11" fillId="0" borderId="0" xfId="0" applyFont="1"/>
    <xf numFmtId="0" fontId="14" fillId="0" borderId="0" xfId="0" applyFont="1"/>
    <xf numFmtId="0" fontId="11" fillId="0" borderId="0" xfId="0" applyFont="1" applyAlignment="1">
      <alignment horizontal="center" vertical="center"/>
    </xf>
    <xf numFmtId="0" fontId="15" fillId="0" borderId="7" xfId="0" applyFont="1" applyBorder="1" applyAlignment="1">
      <alignment horizontal="center" vertical="center"/>
    </xf>
    <xf numFmtId="0" fontId="16" fillId="0" borderId="8" xfId="0" applyFont="1" applyBorder="1" applyAlignment="1">
      <alignment horizontal="left" vertical="center" indent="1" shrinkToFit="1"/>
    </xf>
    <xf numFmtId="0" fontId="15" fillId="0" borderId="7" xfId="0" applyFont="1" applyBorder="1" applyAlignment="1">
      <alignment horizontal="center" vertical="center" wrapText="1"/>
    </xf>
    <xf numFmtId="0" fontId="16" fillId="0" borderId="1" xfId="0" applyFont="1" applyBorder="1" applyAlignment="1">
      <alignment horizontal="left" vertical="center" wrapText="1" indent="1" shrinkToFit="1"/>
    </xf>
    <xf numFmtId="0" fontId="16" fillId="0" borderId="2" xfId="0" applyFont="1" applyBorder="1" applyAlignment="1">
      <alignment horizontal="left" vertical="center" wrapText="1" indent="1" shrinkToFit="1"/>
    </xf>
    <xf numFmtId="0" fontId="14" fillId="3" borderId="0" xfId="0" applyFont="1" applyFill="1"/>
    <xf numFmtId="0" fontId="0" fillId="3" borderId="0" xfId="0" applyFill="1"/>
    <xf numFmtId="0" fontId="11" fillId="0" borderId="0" xfId="0" applyFont="1" applyAlignment="1">
      <alignment wrapText="1"/>
    </xf>
    <xf numFmtId="0" fontId="14" fillId="0" borderId="0" xfId="0" applyFont="1" applyAlignment="1">
      <alignment wrapText="1"/>
    </xf>
    <xf numFmtId="0" fontId="10" fillId="2" borderId="5" xfId="0" applyFont="1" applyFill="1" applyBorder="1" applyAlignment="1">
      <alignment horizontal="center" vertical="top" wrapText="1"/>
    </xf>
    <xf numFmtId="0" fontId="10" fillId="2" borderId="0" xfId="0" applyFont="1" applyFill="1" applyAlignment="1">
      <alignment horizontal="center" vertical="top" wrapText="1"/>
    </xf>
    <xf numFmtId="0" fontId="10" fillId="2" borderId="5" xfId="0" applyFont="1" applyFill="1" applyBorder="1" applyAlignment="1">
      <alignment vertical="top" wrapText="1"/>
    </xf>
    <xf numFmtId="0" fontId="10" fillId="2" borderId="0" xfId="0" applyFont="1" applyFill="1" applyAlignment="1">
      <alignment vertical="top" wrapText="1"/>
    </xf>
    <xf numFmtId="0" fontId="8" fillId="2" borderId="0" xfId="0" applyFont="1" applyFill="1" applyAlignment="1">
      <alignment horizontal="center" vertical="top" wrapText="1"/>
    </xf>
    <xf numFmtId="0" fontId="14" fillId="0" borderId="0" xfId="0" applyFont="1" applyAlignment="1">
      <alignment horizontal="center" vertical="center"/>
    </xf>
    <xf numFmtId="0" fontId="1" fillId="0" borderId="9" xfId="0" applyFont="1" applyBorder="1" applyAlignment="1">
      <alignment vertical="top" wrapText="1"/>
    </xf>
    <xf numFmtId="0" fontId="0" fillId="0" borderId="2" xfId="0" applyBorder="1" applyAlignment="1">
      <alignment horizontal="center"/>
    </xf>
    <xf numFmtId="0" fontId="1" fillId="0" borderId="5" xfId="0" applyFont="1" applyBorder="1" applyAlignment="1">
      <alignment vertical="top" wrapText="1"/>
    </xf>
    <xf numFmtId="0" fontId="1" fillId="0" borderId="8" xfId="0" applyFont="1" applyBorder="1" applyAlignment="1">
      <alignment vertical="top" wrapText="1"/>
    </xf>
    <xf numFmtId="0" fontId="0" fillId="0" borderId="10" xfId="0" applyBorder="1"/>
    <xf numFmtId="0" fontId="1" fillId="0" borderId="11" xfId="0" applyFont="1" applyBorder="1" applyAlignment="1">
      <alignment horizontal="center" vertical="top" wrapText="1"/>
    </xf>
    <xf numFmtId="165" fontId="1" fillId="0" borderId="2" xfId="0" applyNumberFormat="1" applyFont="1" applyBorder="1" applyAlignment="1">
      <alignment horizontal="center" vertical="top" wrapText="1"/>
    </xf>
    <xf numFmtId="165" fontId="1" fillId="0" borderId="1" xfId="0" applyNumberFormat="1" applyFont="1" applyBorder="1" applyAlignment="1">
      <alignment horizontal="center" vertical="top" wrapText="1"/>
    </xf>
    <xf numFmtId="165" fontId="1" fillId="0" borderId="0" xfId="0" applyNumberFormat="1" applyFont="1" applyAlignment="1">
      <alignment horizontal="center" vertical="top" wrapText="1"/>
    </xf>
    <xf numFmtId="166" fontId="14" fillId="3" borderId="0" xfId="0" applyNumberFormat="1" applyFont="1" applyFill="1" applyAlignment="1">
      <alignment horizontal="left" vertical="center"/>
    </xf>
    <xf numFmtId="0" fontId="13" fillId="0" borderId="0" xfId="0" applyFont="1" applyAlignment="1">
      <alignment vertical="center"/>
    </xf>
    <xf numFmtId="0" fontId="0" fillId="0" borderId="0" xfId="0" applyAlignment="1">
      <alignment vertical="center"/>
    </xf>
    <xf numFmtId="0" fontId="13" fillId="3" borderId="0" xfId="0" applyFont="1" applyFill="1"/>
    <xf numFmtId="0" fontId="10" fillId="0" borderId="5" xfId="0" applyFont="1" applyBorder="1" applyAlignment="1">
      <alignment horizontal="center" vertical="top" wrapText="1"/>
    </xf>
    <xf numFmtId="0" fontId="10" fillId="0" borderId="0" xfId="0" applyFont="1" applyAlignment="1">
      <alignment horizontal="center" vertical="top" wrapText="1"/>
    </xf>
    <xf numFmtId="0" fontId="10" fillId="0" borderId="5" xfId="0" applyFont="1" applyBorder="1" applyAlignment="1">
      <alignment vertical="top" wrapText="1"/>
    </xf>
    <xf numFmtId="0" fontId="10" fillId="0" borderId="0" xfId="0" applyFont="1" applyAlignment="1">
      <alignment vertical="top" wrapText="1"/>
    </xf>
    <xf numFmtId="0" fontId="8" fillId="0" borderId="0" xfId="0" applyFont="1" applyAlignment="1">
      <alignment horizontal="center" vertical="top" wrapText="1"/>
    </xf>
    <xf numFmtId="0" fontId="13" fillId="3" borderId="0" xfId="0" applyFont="1" applyFill="1" applyAlignment="1">
      <alignment vertical="center"/>
    </xf>
    <xf numFmtId="0" fontId="8" fillId="0" borderId="10" xfId="0" applyFont="1" applyBorder="1" applyAlignment="1">
      <alignment horizontal="left" wrapText="1"/>
    </xf>
    <xf numFmtId="0" fontId="8" fillId="0" borderId="9" xfId="0" applyFont="1" applyBorder="1" applyAlignment="1">
      <alignment horizontal="left"/>
    </xf>
    <xf numFmtId="0" fontId="13" fillId="0" borderId="0" xfId="0" applyFont="1" applyAlignment="1">
      <alignment wrapText="1"/>
    </xf>
    <xf numFmtId="0" fontId="2" fillId="0" borderId="0" xfId="0" applyFont="1" applyAlignment="1">
      <alignment horizontal="left"/>
    </xf>
    <xf numFmtId="0" fontId="19" fillId="0" borderId="0" xfId="0" applyFont="1"/>
    <xf numFmtId="0" fontId="19" fillId="0" borderId="0" xfId="0" applyFont="1" applyAlignment="1">
      <alignment vertical="center"/>
    </xf>
    <xf numFmtId="0" fontId="21" fillId="0" borderId="0" xfId="0" applyFont="1" applyAlignment="1">
      <alignment horizontal="left" indent="6"/>
    </xf>
    <xf numFmtId="0" fontId="19" fillId="0" borderId="0" xfId="0" applyFont="1" applyAlignment="1">
      <alignment horizontal="left" indent="4"/>
    </xf>
    <xf numFmtId="0" fontId="22" fillId="0" borderId="0" xfId="0" applyFont="1"/>
    <xf numFmtId="0" fontId="19" fillId="0" borderId="0" xfId="0" applyFont="1" applyAlignment="1">
      <alignment horizontal="center"/>
    </xf>
    <xf numFmtId="0" fontId="22" fillId="0" borderId="0" xfId="0" applyFont="1" applyAlignment="1">
      <alignment vertical="center"/>
    </xf>
    <xf numFmtId="0" fontId="20" fillId="0" borderId="12" xfId="0" applyFont="1" applyBorder="1" applyAlignment="1">
      <alignment horizontal="center" vertical="top" wrapText="1"/>
    </xf>
    <xf numFmtId="0" fontId="20" fillId="0" borderId="4" xfId="0" applyFont="1" applyBorder="1" applyAlignment="1">
      <alignment horizontal="center" vertical="top" wrapText="1"/>
    </xf>
    <xf numFmtId="0" fontId="19" fillId="0" borderId="5" xfId="0" applyFont="1" applyBorder="1" applyAlignment="1">
      <alignment horizontal="center" vertical="top" wrapText="1"/>
    </xf>
    <xf numFmtId="0" fontId="20" fillId="0" borderId="13" xfId="0" applyFont="1" applyBorder="1" applyAlignment="1">
      <alignment horizontal="center" vertical="top" wrapText="1"/>
    </xf>
    <xf numFmtId="0" fontId="19" fillId="0" borderId="12" xfId="0" applyFont="1" applyBorder="1" applyAlignment="1">
      <alignment horizontal="center" vertical="top" wrapText="1"/>
    </xf>
    <xf numFmtId="0" fontId="19" fillId="0" borderId="0" xfId="0" applyFont="1" applyAlignment="1">
      <alignment horizontal="center" vertical="top" wrapText="1"/>
    </xf>
    <xf numFmtId="0" fontId="19" fillId="0" borderId="8" xfId="0" applyFont="1" applyBorder="1" applyAlignment="1">
      <alignment horizontal="center" vertical="top" wrapText="1"/>
    </xf>
    <xf numFmtId="0" fontId="20" fillId="0" borderId="5" xfId="0" applyFont="1" applyBorder="1" applyAlignment="1">
      <alignment horizontal="center" vertical="top" wrapText="1"/>
    </xf>
    <xf numFmtId="0" fontId="19" fillId="0" borderId="5" xfId="0" applyFont="1" applyBorder="1" applyAlignment="1">
      <alignment vertical="top" wrapText="1"/>
    </xf>
    <xf numFmtId="0" fontId="19" fillId="0" borderId="0" xfId="0" applyFont="1" applyAlignment="1">
      <alignment vertical="top" wrapText="1"/>
    </xf>
    <xf numFmtId="0" fontId="20" fillId="0" borderId="8" xfId="0" applyFont="1" applyBorder="1" applyAlignment="1">
      <alignment horizontal="center" vertical="top" wrapText="1"/>
    </xf>
    <xf numFmtId="0" fontId="19" fillId="0" borderId="2" xfId="0" applyFont="1" applyBorder="1" applyAlignment="1">
      <alignment vertical="top" wrapText="1"/>
    </xf>
    <xf numFmtId="0" fontId="20" fillId="0" borderId="10" xfId="0" applyFont="1" applyBorder="1" applyAlignment="1">
      <alignment horizontal="center" vertical="top" wrapText="1"/>
    </xf>
    <xf numFmtId="0" fontId="20" fillId="0" borderId="9" xfId="0" applyFont="1" applyBorder="1" applyAlignment="1">
      <alignment horizontal="center" vertical="top" wrapText="1"/>
    </xf>
    <xf numFmtId="0" fontId="19" fillId="0" borderId="0" xfId="0" applyFont="1" applyAlignment="1">
      <alignment horizontal="left"/>
    </xf>
    <xf numFmtId="0" fontId="19" fillId="0" borderId="0" xfId="0" applyFont="1" applyAlignment="1">
      <alignment horizontal="left" indent="6"/>
    </xf>
    <xf numFmtId="0" fontId="23" fillId="0" borderId="0" xfId="0" applyFont="1" applyAlignment="1">
      <alignment horizontal="center"/>
    </xf>
    <xf numFmtId="0" fontId="24" fillId="0" borderId="0" xfId="0" applyFont="1" applyAlignment="1">
      <alignment horizontal="center"/>
    </xf>
    <xf numFmtId="0" fontId="23" fillId="0" borderId="0" xfId="0" applyFont="1" applyAlignment="1">
      <alignment horizontal="center" vertical="center"/>
    </xf>
    <xf numFmtId="0" fontId="24" fillId="0" borderId="0" xfId="0" applyFont="1"/>
    <xf numFmtId="0" fontId="23" fillId="0" borderId="4" xfId="0" applyFont="1" applyBorder="1" applyAlignment="1">
      <alignment horizontal="center" vertical="top" wrapText="1"/>
    </xf>
    <xf numFmtId="0" fontId="23" fillId="0" borderId="14" xfId="0" applyFont="1" applyBorder="1" applyAlignment="1">
      <alignment horizontal="center" vertical="top" wrapText="1"/>
    </xf>
    <xf numFmtId="0" fontId="23" fillId="0" borderId="5" xfId="0" applyFont="1" applyBorder="1" applyAlignment="1">
      <alignment horizontal="center" vertical="top" wrapText="1"/>
    </xf>
    <xf numFmtId="0" fontId="23" fillId="0" borderId="8" xfId="0" applyFont="1" applyBorder="1" applyAlignment="1">
      <alignment horizontal="center" vertical="top" wrapText="1"/>
    </xf>
    <xf numFmtId="0" fontId="24" fillId="0" borderId="5" xfId="0" applyFont="1" applyBorder="1" applyAlignment="1">
      <alignment vertical="top" wrapText="1"/>
    </xf>
    <xf numFmtId="0" fontId="23" fillId="0" borderId="10" xfId="0" applyFont="1" applyBorder="1" applyAlignment="1">
      <alignment horizontal="center" vertical="top" wrapText="1"/>
    </xf>
    <xf numFmtId="0" fontId="23" fillId="0" borderId="9" xfId="0" applyFont="1" applyBorder="1" applyAlignment="1">
      <alignment horizontal="center" vertical="top" wrapText="1"/>
    </xf>
    <xf numFmtId="0" fontId="23" fillId="0" borderId="0" xfId="0" applyFont="1" applyAlignment="1">
      <alignment horizontal="left"/>
    </xf>
    <xf numFmtId="0" fontId="25" fillId="0" borderId="0" xfId="0" applyFont="1"/>
    <xf numFmtId="0" fontId="19" fillId="0" borderId="0" xfId="0" applyFont="1" applyAlignment="1">
      <alignment horizontal="left" indent="2"/>
    </xf>
    <xf numFmtId="0" fontId="24" fillId="0" borderId="0" xfId="0" applyFont="1" applyAlignment="1">
      <alignment vertical="top" wrapText="1"/>
    </xf>
    <xf numFmtId="0" fontId="24" fillId="0" borderId="2" xfId="0" applyFont="1" applyBorder="1" applyAlignment="1">
      <alignment vertical="top" wrapText="1"/>
    </xf>
    <xf numFmtId="0" fontId="26" fillId="0" borderId="0" xfId="0" applyFont="1"/>
    <xf numFmtId="0" fontId="20" fillId="0" borderId="0" xfId="0" applyFont="1"/>
    <xf numFmtId="0" fontId="19" fillId="4" borderId="0" xfId="0" applyFont="1" applyFill="1"/>
    <xf numFmtId="0" fontId="19" fillId="4" borderId="0" xfId="0" applyFont="1" applyFill="1"/>
    <xf numFmtId="0" fontId="12" fillId="2" borderId="4" xfId="0" applyFont="1" applyFill="1" applyBorder="1" applyAlignment="1">
      <alignment horizontal="center" vertical="top" wrapText="1"/>
    </xf>
    <xf numFmtId="0" fontId="12" fillId="2" borderId="14" xfId="0" applyFont="1" applyFill="1" applyBorder="1" applyAlignment="1">
      <alignment horizontal="center" vertical="top" wrapText="1"/>
    </xf>
    <xf numFmtId="0" fontId="23" fillId="2" borderId="0" xfId="0" applyFont="1" applyFill="1" applyAlignment="1">
      <alignment horizontal="center"/>
    </xf>
    <xf numFmtId="0" fontId="24" fillId="2" borderId="0" xfId="0" applyFont="1" applyFill="1"/>
    <xf numFmtId="0" fontId="20" fillId="2" borderId="12" xfId="0" applyFont="1" applyFill="1" applyBorder="1" applyAlignment="1">
      <alignment horizontal="center" vertical="top" wrapText="1"/>
    </xf>
    <xf numFmtId="0" fontId="20" fillId="2" borderId="13" xfId="0" applyFont="1" applyFill="1" applyBorder="1" applyAlignment="1">
      <alignment horizontal="center" vertical="top" wrapText="1"/>
    </xf>
    <xf numFmtId="0" fontId="19" fillId="2" borderId="12" xfId="0" applyFont="1" applyFill="1" applyBorder="1" applyAlignment="1">
      <alignment horizontal="center" vertical="top" wrapText="1"/>
    </xf>
    <xf numFmtId="0" fontId="19" fillId="2" borderId="8" xfId="0" applyFont="1" applyFill="1" applyBorder="1" applyAlignment="1">
      <alignment horizontal="center" vertical="top" wrapText="1"/>
    </xf>
    <xf numFmtId="0" fontId="19" fillId="2" borderId="5" xfId="0" applyFont="1" applyFill="1" applyBorder="1" applyAlignment="1">
      <alignment horizontal="center" vertical="top" wrapText="1"/>
    </xf>
    <xf numFmtId="0" fontId="19" fillId="2" borderId="5" xfId="0" applyFont="1" applyFill="1" applyBorder="1" applyAlignment="1">
      <alignment vertical="top" wrapText="1"/>
    </xf>
    <xf numFmtId="0" fontId="23" fillId="2" borderId="4" xfId="0" applyFont="1" applyFill="1" applyBorder="1" applyAlignment="1">
      <alignment horizontal="center" vertical="top" wrapText="1"/>
    </xf>
    <xf numFmtId="0" fontId="23" fillId="2" borderId="5" xfId="0" applyFont="1" applyFill="1" applyBorder="1" applyAlignment="1">
      <alignment horizontal="center" vertical="top" wrapText="1"/>
    </xf>
    <xf numFmtId="0" fontId="23" fillId="2" borderId="8" xfId="0" applyFont="1" applyFill="1" applyBorder="1" applyAlignment="1">
      <alignment horizontal="center" vertical="top" wrapText="1"/>
    </xf>
    <xf numFmtId="0" fontId="23" fillId="2" borderId="10" xfId="0" applyFont="1" applyFill="1" applyBorder="1" applyAlignment="1">
      <alignment horizontal="center" vertical="top" wrapText="1"/>
    </xf>
    <xf numFmtId="0" fontId="23" fillId="2" borderId="9" xfId="0" applyFont="1" applyFill="1" applyBorder="1" applyAlignment="1">
      <alignment horizontal="center" vertical="top" wrapText="1"/>
    </xf>
    <xf numFmtId="0" fontId="19" fillId="2" borderId="0" xfId="0" applyFont="1" applyFill="1" applyAlignment="1">
      <alignment horizontal="left"/>
    </xf>
    <xf numFmtId="0" fontId="20" fillId="0" borderId="15" xfId="0" applyFont="1" applyBorder="1" applyAlignment="1">
      <alignment horizontal="center" vertical="top" wrapText="1"/>
    </xf>
    <xf numFmtId="0" fontId="13" fillId="0" borderId="0" xfId="0" applyFont="1" applyAlignment="1" applyProtection="1">
      <alignment vertical="center"/>
      <protection locked="0"/>
    </xf>
    <xf numFmtId="0" fontId="13" fillId="0" borderId="0" xfId="0" applyFont="1" applyAlignment="1" applyProtection="1">
      <alignment horizontal="center" vertical="center"/>
      <protection locked="0"/>
    </xf>
    <xf numFmtId="0" fontId="13" fillId="5" borderId="0" xfId="0" applyFont="1" applyFill="1"/>
    <xf numFmtId="0" fontId="0" fillId="5" borderId="0" xfId="0" applyFill="1"/>
    <xf numFmtId="0" fontId="20" fillId="0" borderId="5" xfId="0" applyFont="1" applyBorder="1" applyAlignment="1">
      <alignment horizontal="center"/>
    </xf>
    <xf numFmtId="0" fontId="19" fillId="0" borderId="5" xfId="0" applyFont="1" applyBorder="1" applyAlignment="1">
      <alignment horizontal="center"/>
    </xf>
    <xf numFmtId="0" fontId="27" fillId="0" borderId="0" xfId="0" applyFont="1"/>
    <xf numFmtId="167" fontId="29" fillId="0" borderId="6" xfId="0" applyNumberFormat="1" applyFont="1" applyBorder="1" applyAlignment="1">
      <alignment horizontal="center" vertical="center"/>
    </xf>
    <xf numFmtId="0" fontId="11" fillId="0" borderId="6" xfId="0" applyFont="1" applyBorder="1" applyAlignment="1">
      <alignment vertical="center"/>
    </xf>
    <xf numFmtId="0" fontId="28" fillId="0" borderId="6" xfId="0" applyFont="1" applyBorder="1" applyAlignment="1">
      <alignment vertical="center"/>
    </xf>
    <xf numFmtId="0" fontId="28" fillId="0" borderId="6" xfId="0" applyFont="1" applyBorder="1" applyAlignment="1">
      <alignment horizontal="center" vertical="center"/>
    </xf>
    <xf numFmtId="0" fontId="0" fillId="0" borderId="6" xfId="0" applyBorder="1" applyAlignment="1">
      <alignment vertical="center"/>
    </xf>
    <xf numFmtId="0" fontId="29" fillId="0" borderId="6" xfId="0" applyFont="1" applyBorder="1" applyAlignment="1">
      <alignment horizontal="center" vertical="center"/>
    </xf>
    <xf numFmtId="0" fontId="0" fillId="0" borderId="0" xfId="0" applyProtection="1">
      <protection locked="0"/>
    </xf>
    <xf numFmtId="0" fontId="29" fillId="0" borderId="0" xfId="0" applyFont="1" applyAlignment="1" applyProtection="1">
      <alignment horizontal="center"/>
      <protection locked="0"/>
    </xf>
    <xf numFmtId="0" fontId="0" fillId="0" borderId="0" xfId="0" applyAlignment="1" applyProtection="1">
      <alignment horizontal="center"/>
      <protection locked="0"/>
    </xf>
    <xf numFmtId="0" fontId="11" fillId="0" borderId="6" xfId="0" applyFont="1" applyBorder="1" applyAlignment="1">
      <alignment horizontal="center" vertical="center"/>
    </xf>
    <xf numFmtId="0" fontId="13" fillId="0" borderId="6" xfId="0" applyFont="1" applyBorder="1" applyAlignment="1">
      <alignment horizontal="left" vertical="center"/>
    </xf>
    <xf numFmtId="0" fontId="13" fillId="0" borderId="6" xfId="0" applyFont="1" applyBorder="1" applyAlignment="1">
      <alignment horizontal="center" vertical="center"/>
    </xf>
    <xf numFmtId="0" fontId="13" fillId="0" borderId="6" xfId="0" applyFont="1" applyBorder="1" applyAlignment="1">
      <alignment horizontal="left" vertical="center" indent="1"/>
    </xf>
    <xf numFmtId="2" fontId="13" fillId="0" borderId="6" xfId="1" applyNumberFormat="1" applyFont="1" applyBorder="1" applyAlignment="1" applyProtection="1">
      <alignment horizontal="left" vertical="center" indent="1"/>
    </xf>
    <xf numFmtId="0" fontId="29" fillId="0" borderId="16" xfId="0" applyFont="1" applyBorder="1" applyAlignment="1">
      <alignment horizontal="center" vertical="center" wrapText="1"/>
    </xf>
    <xf numFmtId="0" fontId="13" fillId="0" borderId="17" xfId="0" applyFont="1" applyBorder="1" applyAlignment="1">
      <alignment horizontal="center" vertical="center" wrapText="1"/>
    </xf>
    <xf numFmtId="0" fontId="0" fillId="0" borderId="0" xfId="0" applyAlignment="1">
      <alignment horizontal="left" vertical="center" wrapText="1"/>
    </xf>
    <xf numFmtId="0" fontId="11" fillId="0" borderId="5" xfId="0" applyFont="1" applyBorder="1" applyAlignment="1">
      <alignment horizontal="left"/>
    </xf>
    <xf numFmtId="0" fontId="0" fillId="0" borderId="8" xfId="0" applyBorder="1"/>
    <xf numFmtId="0" fontId="0" fillId="0" borderId="5" xfId="0" applyBorder="1" applyAlignment="1">
      <alignment horizontal="left"/>
    </xf>
    <xf numFmtId="0" fontId="0" fillId="0" borderId="18" xfId="0" applyBorder="1" applyAlignment="1">
      <alignment horizontal="left"/>
    </xf>
    <xf numFmtId="0" fontId="0" fillId="0" borderId="19" xfId="0" applyBorder="1"/>
    <xf numFmtId="0" fontId="11" fillId="0" borderId="20" xfId="0" applyFont="1" applyBorder="1"/>
    <xf numFmtId="0" fontId="0" fillId="0" borderId="21" xfId="0" applyBorder="1"/>
    <xf numFmtId="0" fontId="0" fillId="0" borderId="22" xfId="0" applyBorder="1"/>
    <xf numFmtId="0" fontId="13" fillId="0" borderId="5" xfId="0" applyFont="1" applyBorder="1"/>
    <xf numFmtId="0" fontId="0" fillId="0" borderId="5" xfId="0" applyBorder="1"/>
    <xf numFmtId="0" fontId="0" fillId="0" borderId="16" xfId="0" applyBorder="1"/>
    <xf numFmtId="0" fontId="0" fillId="0" borderId="23" xfId="0" applyBorder="1"/>
    <xf numFmtId="0" fontId="0" fillId="0" borderId="17" xfId="0" applyBorder="1"/>
    <xf numFmtId="0" fontId="0" fillId="0" borderId="24" xfId="0" applyBorder="1"/>
    <xf numFmtId="0" fontId="0" fillId="0" borderId="0" xfId="0" applyAlignment="1">
      <alignment horizontal="center" vertical="center"/>
    </xf>
    <xf numFmtId="0" fontId="0" fillId="0" borderId="0" xfId="0"/>
    <xf numFmtId="0" fontId="2" fillId="0" borderId="0" xfId="0" applyFont="1" applyAlignment="1">
      <alignment horizontal="center"/>
    </xf>
    <xf numFmtId="0" fontId="2" fillId="0" borderId="0" xfId="0" applyFont="1" applyAlignment="1">
      <alignment horizontal="left"/>
    </xf>
    <xf numFmtId="0" fontId="19" fillId="0" borderId="0" xfId="0" applyFont="1" applyAlignment="1">
      <alignment vertical="center"/>
    </xf>
    <xf numFmtId="0" fontId="19" fillId="0" borderId="0" xfId="0" applyFont="1"/>
    <xf numFmtId="0" fontId="13" fillId="4" borderId="0" xfId="0" applyFont="1" applyFill="1"/>
    <xf numFmtId="0" fontId="0" fillId="4" borderId="0" xfId="0" applyFill="1"/>
    <xf numFmtId="0" fontId="11" fillId="0" borderId="0" xfId="0" applyFont="1"/>
    <xf numFmtId="0" fontId="0" fillId="0" borderId="0" xfId="0"/>
    <xf numFmtId="0" fontId="11" fillId="0" borderId="0" xfId="0" applyFont="1" applyAlignment="1">
      <alignment horizontal="center"/>
    </xf>
    <xf numFmtId="0" fontId="2" fillId="0" borderId="0" xfId="0" applyFont="1" applyAlignment="1">
      <alignment horizontal="left"/>
    </xf>
    <xf numFmtId="0" fontId="2" fillId="0" borderId="0" xfId="0" applyFont="1" applyAlignment="1">
      <alignment horizontal="center"/>
    </xf>
    <xf numFmtId="0" fontId="19" fillId="0" borderId="0" xfId="0" applyFont="1" applyAlignment="1">
      <alignment vertical="center"/>
    </xf>
    <xf numFmtId="0" fontId="19" fillId="0" borderId="0" xfId="0" applyFont="1"/>
    <xf numFmtId="0" fontId="19" fillId="0" borderId="0" xfId="0" applyFont="1" applyAlignment="1">
      <alignment horizontal="left" indent="1"/>
    </xf>
    <xf numFmtId="0" fontId="19" fillId="0" borderId="0" xfId="0" quotePrefix="1" applyFont="1"/>
    <xf numFmtId="0" fontId="0" fillId="0" borderId="0" xfId="0"/>
    <xf numFmtId="0" fontId="19" fillId="0" borderId="0" xfId="0" applyFont="1"/>
    <xf numFmtId="0" fontId="20" fillId="0" borderId="0" xfId="0" applyFont="1" applyBorder="1" applyAlignment="1">
      <alignment horizontal="center" vertical="center" wrapText="1"/>
    </xf>
    <xf numFmtId="0" fontId="23" fillId="0" borderId="0" xfId="0" applyFont="1" applyBorder="1" applyAlignment="1">
      <alignment horizontal="center" vertical="center" wrapText="1"/>
    </xf>
    <xf numFmtId="0" fontId="19" fillId="0" borderId="0" xfId="0" applyFont="1" applyBorder="1" applyAlignment="1">
      <alignment horizontal="center" vertical="center" wrapText="1"/>
    </xf>
    <xf numFmtId="0" fontId="13" fillId="0" borderId="0" xfId="0" applyFont="1" applyFill="1"/>
    <xf numFmtId="0" fontId="11" fillId="0" borderId="0" xfId="0" applyFont="1" applyAlignment="1">
      <alignment horizontal="left" indent="1"/>
    </xf>
    <xf numFmtId="14" fontId="13" fillId="0" borderId="0" xfId="0" applyNumberFormat="1" applyFont="1" applyFill="1" applyAlignment="1">
      <alignment horizontal="left"/>
    </xf>
    <xf numFmtId="166" fontId="14" fillId="5" borderId="0" xfId="0" applyNumberFormat="1" applyFont="1" applyFill="1" applyAlignment="1">
      <alignment horizontal="left" vertical="center"/>
    </xf>
    <xf numFmtId="14" fontId="13" fillId="5" borderId="0" xfId="0" applyNumberFormat="1" applyFont="1" applyFill="1" applyAlignment="1">
      <alignment horizontal="left"/>
    </xf>
    <xf numFmtId="14" fontId="13" fillId="5" borderId="0" xfId="0" applyNumberFormat="1" applyFont="1" applyFill="1" applyAlignment="1">
      <alignment horizontal="left" wrapText="1"/>
    </xf>
    <xf numFmtId="14" fontId="1" fillId="0" borderId="0" xfId="0" applyNumberFormat="1" applyFont="1" applyAlignment="1"/>
    <xf numFmtId="0" fontId="12" fillId="0" borderId="0" xfId="0" applyFont="1" applyAlignment="1">
      <alignment horizontal="center"/>
    </xf>
    <xf numFmtId="0" fontId="1" fillId="0" borderId="0" xfId="0" applyFont="1" applyAlignment="1">
      <alignment horizontal="left" indent="1"/>
    </xf>
    <xf numFmtId="14" fontId="13" fillId="0" borderId="0" xfId="0" applyNumberFormat="1" applyFont="1" applyFill="1" applyAlignment="1">
      <alignment horizontal="left" wrapText="1"/>
    </xf>
    <xf numFmtId="0" fontId="0" fillId="0" borderId="0" xfId="0"/>
    <xf numFmtId="0" fontId="19" fillId="0" borderId="0" xfId="0" applyFont="1"/>
    <xf numFmtId="0" fontId="35" fillId="0" borderId="0" xfId="0" applyFont="1" applyAlignment="1">
      <alignment horizontal="left"/>
    </xf>
    <xf numFmtId="0" fontId="0" fillId="0" borderId="0" xfId="0"/>
    <xf numFmtId="0" fontId="19" fillId="0" borderId="0" xfId="0" applyFont="1"/>
    <xf numFmtId="0" fontId="20" fillId="0" borderId="12" xfId="0" applyFont="1" applyBorder="1" applyAlignment="1">
      <alignment horizontal="center" vertical="center" wrapText="1"/>
    </xf>
    <xf numFmtId="0" fontId="23" fillId="0" borderId="4" xfId="0" applyFont="1" applyBorder="1" applyAlignment="1">
      <alignment horizontal="center" vertical="center" wrapText="1"/>
    </xf>
    <xf numFmtId="0" fontId="19" fillId="0" borderId="5" xfId="0" applyFont="1" applyBorder="1" applyAlignment="1">
      <alignment horizontal="center" vertical="center" wrapText="1"/>
    </xf>
    <xf numFmtId="0" fontId="20" fillId="0" borderId="13" xfId="0" applyFont="1" applyBorder="1" applyAlignment="1">
      <alignment horizontal="center" vertical="center" wrapText="1"/>
    </xf>
    <xf numFmtId="0" fontId="23" fillId="0" borderId="14"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4" xfId="0" applyFont="1" applyBorder="1" applyAlignment="1">
      <alignment horizontal="center" vertical="center" wrapText="1"/>
    </xf>
    <xf numFmtId="0" fontId="0" fillId="0" borderId="0" xfId="0"/>
    <xf numFmtId="0" fontId="2" fillId="0" borderId="0" xfId="0" applyFont="1" applyAlignment="1">
      <alignment horizontal="center"/>
    </xf>
    <xf numFmtId="0" fontId="2" fillId="0" borderId="0" xfId="0" applyFont="1" applyAlignment="1">
      <alignment horizontal="left"/>
    </xf>
    <xf numFmtId="0" fontId="19" fillId="0" borderId="0" xfId="0" applyFont="1"/>
    <xf numFmtId="0" fontId="19" fillId="0" borderId="0" xfId="0" applyFont="1" applyAlignment="1">
      <alignment horizontal="left"/>
    </xf>
    <xf numFmtId="0" fontId="19" fillId="0" borderId="0" xfId="0" applyFont="1" applyAlignment="1">
      <alignment vertical="center"/>
    </xf>
    <xf numFmtId="0" fontId="0" fillId="0" borderId="0" xfId="0"/>
    <xf numFmtId="0" fontId="2" fillId="0" borderId="0" xfId="0" applyFont="1" applyAlignment="1">
      <alignment horizontal="left"/>
    </xf>
    <xf numFmtId="0" fontId="2" fillId="0" borderId="0" xfId="0" applyFont="1" applyAlignment="1">
      <alignment horizontal="center"/>
    </xf>
    <xf numFmtId="0" fontId="19" fillId="0" borderId="0" xfId="0" applyFont="1"/>
    <xf numFmtId="0" fontId="19" fillId="0" borderId="0" xfId="0" applyFont="1" applyAlignment="1">
      <alignment vertical="center"/>
    </xf>
    <xf numFmtId="0" fontId="1" fillId="0" borderId="0" xfId="0" applyFont="1" applyAlignment="1">
      <alignment horizontal="center"/>
    </xf>
    <xf numFmtId="0" fontId="11" fillId="0" borderId="0" xfId="0" applyFont="1" applyAlignment="1">
      <alignment horizontal="center"/>
    </xf>
    <xf numFmtId="0" fontId="0" fillId="0" borderId="0" xfId="0"/>
    <xf numFmtId="0" fontId="19" fillId="0" borderId="0" xfId="0" applyFont="1"/>
    <xf numFmtId="0" fontId="0" fillId="4" borderId="0" xfId="0" applyFill="1"/>
    <xf numFmtId="0" fontId="0" fillId="0" borderId="0" xfId="0"/>
    <xf numFmtId="0" fontId="23" fillId="0" borderId="0" xfId="0" applyFont="1" applyAlignment="1" applyProtection="1">
      <alignment horizontal="center"/>
      <protection locked="0"/>
    </xf>
    <xf numFmtId="0" fontId="36" fillId="0" borderId="0" xfId="0" applyFont="1" applyAlignment="1">
      <alignment vertical="center"/>
    </xf>
    <xf numFmtId="0" fontId="13" fillId="0" borderId="0" xfId="0" applyFont="1" applyAlignment="1">
      <alignment horizontal="left" vertical="center" indent="1"/>
    </xf>
    <xf numFmtId="2" fontId="13" fillId="0" borderId="0" xfId="1" applyNumberFormat="1" applyFont="1" applyAlignment="1" applyProtection="1">
      <alignment horizontal="left" vertical="center" indent="1"/>
    </xf>
    <xf numFmtId="0" fontId="0" fillId="0" borderId="0" xfId="0"/>
    <xf numFmtId="0" fontId="19" fillId="0" borderId="0" xfId="0" applyFont="1" applyAlignment="1">
      <alignment vertical="center"/>
    </xf>
    <xf numFmtId="0" fontId="11" fillId="0" borderId="0" xfId="0" applyFont="1" applyAlignment="1">
      <alignment horizontal="center"/>
    </xf>
    <xf numFmtId="0" fontId="13" fillId="4" borderId="0" xfId="0" applyFont="1" applyFill="1" applyAlignment="1">
      <alignment horizontal="left"/>
    </xf>
    <xf numFmtId="0" fontId="0" fillId="0" borderId="0" xfId="0"/>
    <xf numFmtId="0" fontId="13" fillId="4" borderId="0" xfId="0" applyFont="1" applyFill="1"/>
    <xf numFmtId="0" fontId="0" fillId="4" borderId="0" xfId="0" applyFill="1"/>
    <xf numFmtId="0" fontId="13" fillId="0" borderId="0" xfId="0" applyFont="1" applyAlignment="1">
      <alignment horizontal="left"/>
    </xf>
    <xf numFmtId="0" fontId="11" fillId="0" borderId="0" xfId="0" applyFont="1" applyAlignment="1">
      <alignment horizontal="left" indent="3"/>
    </xf>
    <xf numFmtId="0" fontId="11" fillId="0" borderId="0" xfId="0" applyFont="1" applyAlignment="1">
      <alignment horizontal="left" indent="6"/>
    </xf>
    <xf numFmtId="0" fontId="11" fillId="0" borderId="0" xfId="0" applyFont="1"/>
    <xf numFmtId="0" fontId="11" fillId="0" borderId="0" xfId="0" applyFont="1" applyAlignment="1">
      <alignment wrapText="1"/>
    </xf>
    <xf numFmtId="0" fontId="11" fillId="0" borderId="0" xfId="0" applyFont="1" applyAlignment="1">
      <alignment horizontal="center" wrapText="1"/>
    </xf>
    <xf numFmtId="0" fontId="13" fillId="0" borderId="0" xfId="0" applyFont="1" applyAlignment="1">
      <alignment horizontal="left" wrapText="1" indent="6"/>
    </xf>
    <xf numFmtId="0" fontId="0" fillId="0" borderId="0" xfId="0" applyAlignment="1">
      <alignment horizontal="left" wrapText="1" indent="6"/>
    </xf>
    <xf numFmtId="0" fontId="11" fillId="4" borderId="0" xfId="0" applyFont="1" applyFill="1" applyAlignment="1">
      <alignment wrapText="1"/>
    </xf>
    <xf numFmtId="0" fontId="13" fillId="4" borderId="0" xfId="0" applyFont="1" applyFill="1" applyAlignment="1">
      <alignment wrapText="1"/>
    </xf>
    <xf numFmtId="0" fontId="0" fillId="0" borderId="0" xfId="0" applyAlignment="1">
      <alignment wrapText="1"/>
    </xf>
    <xf numFmtId="0" fontId="0" fillId="4" borderId="0" xfId="0" applyFill="1" applyAlignment="1">
      <alignment wrapText="1"/>
    </xf>
    <xf numFmtId="0" fontId="11" fillId="4" borderId="0" xfId="0" applyFont="1" applyFill="1" applyAlignment="1">
      <alignment horizontal="left"/>
    </xf>
    <xf numFmtId="0" fontId="11" fillId="0" borderId="0" xfId="0" applyFont="1" applyAlignment="1">
      <alignment horizontal="left"/>
    </xf>
    <xf numFmtId="0" fontId="0" fillId="0" borderId="0" xfId="0" applyAlignment="1">
      <alignment horizontal="left"/>
    </xf>
    <xf numFmtId="0" fontId="1" fillId="0" borderId="12" xfId="0" applyFont="1" applyBorder="1" applyAlignment="1">
      <alignment horizontal="center" vertical="top" wrapText="1"/>
    </xf>
    <xf numFmtId="0" fontId="1" fillId="0" borderId="8" xfId="0" applyFont="1" applyBorder="1" applyAlignment="1">
      <alignment horizontal="center" vertical="top" wrapText="1"/>
    </xf>
    <xf numFmtId="0" fontId="1" fillId="0" borderId="10" xfId="0" applyFont="1" applyBorder="1" applyAlignment="1">
      <alignment horizontal="center" vertical="top" wrapText="1"/>
    </xf>
    <xf numFmtId="0" fontId="2" fillId="0" borderId="0" xfId="0" applyFont="1" applyAlignment="1">
      <alignment horizontal="center"/>
    </xf>
    <xf numFmtId="0" fontId="1" fillId="0" borderId="1" xfId="0" applyFont="1" applyBorder="1" applyAlignment="1">
      <alignment horizontal="center" vertical="top" wrapText="1"/>
    </xf>
    <xf numFmtId="0" fontId="1" fillId="0" borderId="2" xfId="0" applyFont="1" applyBorder="1" applyAlignment="1">
      <alignment horizontal="center" vertical="top" wrapText="1"/>
    </xf>
    <xf numFmtId="0" fontId="1" fillId="0" borderId="3" xfId="0" applyFont="1" applyBorder="1" applyAlignment="1">
      <alignment horizontal="center" vertical="top" wrapText="1"/>
    </xf>
    <xf numFmtId="0" fontId="2" fillId="0" borderId="0" xfId="0" applyFont="1" applyAlignment="1">
      <alignment horizontal="left"/>
    </xf>
    <xf numFmtId="0" fontId="3" fillId="0" borderId="0" xfId="0" applyFont="1" applyFill="1"/>
    <xf numFmtId="0" fontId="3" fillId="0" borderId="0" xfId="0" applyFont="1"/>
    <xf numFmtId="0" fontId="5" fillId="0" borderId="0" xfId="0" applyFont="1" applyAlignment="1">
      <alignment horizontal="left" indent="1"/>
    </xf>
    <xf numFmtId="0" fontId="0" fillId="0" borderId="11" xfId="0" applyBorder="1"/>
    <xf numFmtId="0" fontId="0" fillId="0" borderId="25" xfId="0" applyBorder="1"/>
    <xf numFmtId="0" fontId="10" fillId="0" borderId="8" xfId="0" applyFont="1" applyBorder="1" applyAlignment="1">
      <alignment horizontal="left" vertical="center" indent="1" shrinkToFit="1"/>
    </xf>
    <xf numFmtId="0" fontId="10" fillId="0" borderId="0" xfId="0" applyFont="1" applyAlignment="1">
      <alignment horizontal="left" vertical="center" indent="1" shrinkToFit="1"/>
    </xf>
    <xf numFmtId="0" fontId="10" fillId="0" borderId="5" xfId="0" applyFont="1" applyBorder="1" applyAlignment="1">
      <alignment horizontal="left" vertical="center" indent="1" shrinkToFit="1"/>
    </xf>
    <xf numFmtId="0" fontId="1" fillId="0" borderId="0" xfId="0" applyFont="1" applyAlignment="1">
      <alignment horizontal="left" vertical="center"/>
    </xf>
    <xf numFmtId="0" fontId="15" fillId="0" borderId="15" xfId="0" applyFont="1" applyBorder="1" applyAlignment="1">
      <alignment horizontal="center" vertical="center"/>
    </xf>
    <xf numFmtId="0" fontId="15" fillId="0" borderId="13" xfId="0" applyFont="1" applyBorder="1" applyAlignment="1">
      <alignment horizontal="center" vertical="center"/>
    </xf>
    <xf numFmtId="0" fontId="15" fillId="0" borderId="14" xfId="0" applyFont="1" applyBorder="1" applyAlignment="1">
      <alignment horizontal="center" vertical="center"/>
    </xf>
    <xf numFmtId="0" fontId="10" fillId="0" borderId="12" xfId="0" applyFont="1" applyBorder="1" applyAlignment="1">
      <alignment horizontal="left" vertical="center" indent="1" shrinkToFit="1"/>
    </xf>
    <xf numFmtId="0" fontId="10" fillId="0" borderId="25" xfId="0" applyFont="1" applyBorder="1" applyAlignment="1">
      <alignment horizontal="left" vertical="center" indent="1" shrinkToFit="1"/>
    </xf>
    <xf numFmtId="0" fontId="10" fillId="0" borderId="4" xfId="0" applyFont="1" applyBorder="1" applyAlignment="1">
      <alignment horizontal="left" vertical="center" indent="1" shrinkToFit="1"/>
    </xf>
    <xf numFmtId="0" fontId="10" fillId="0" borderId="10" xfId="0" applyFont="1" applyBorder="1" applyAlignment="1">
      <alignment horizontal="left" vertical="center" indent="1" shrinkToFit="1"/>
    </xf>
    <xf numFmtId="0" fontId="10" fillId="0" borderId="11" xfId="0" applyFont="1" applyBorder="1" applyAlignment="1">
      <alignment horizontal="left" vertical="center" indent="1" shrinkToFit="1"/>
    </xf>
    <xf numFmtId="0" fontId="10" fillId="0" borderId="9" xfId="0" applyFont="1" applyBorder="1" applyAlignment="1">
      <alignment horizontal="left" vertical="center" indent="1" shrinkToFit="1"/>
    </xf>
    <xf numFmtId="0" fontId="1" fillId="0" borderId="0" xfId="0" applyFont="1" applyAlignment="1">
      <alignment horizontal="left" vertical="center" wrapText="1"/>
    </xf>
    <xf numFmtId="0" fontId="23" fillId="0" borderId="6" xfId="0" applyFont="1" applyBorder="1" applyAlignment="1">
      <alignment horizontal="center" vertical="center"/>
    </xf>
    <xf numFmtId="164" fontId="2" fillId="0" borderId="0" xfId="0" applyNumberFormat="1" applyFont="1" applyAlignment="1">
      <alignment horizontal="right"/>
    </xf>
    <xf numFmtId="0" fontId="19" fillId="0" borderId="0" xfId="0" applyFont="1"/>
    <xf numFmtId="0" fontId="19" fillId="0" borderId="0" xfId="0" applyFont="1" applyAlignment="1">
      <alignment horizontal="left"/>
    </xf>
    <xf numFmtId="0" fontId="19" fillId="0" borderId="0" xfId="0" applyFont="1" applyAlignment="1">
      <alignment vertical="center"/>
    </xf>
    <xf numFmtId="0" fontId="10" fillId="2" borderId="5" xfId="0" applyFont="1" applyFill="1" applyBorder="1" applyAlignment="1">
      <alignment vertical="top" wrapText="1"/>
    </xf>
    <xf numFmtId="0" fontId="19" fillId="4" borderId="0" xfId="0" applyFont="1" applyFill="1" applyAlignment="1">
      <alignment vertical="center"/>
    </xf>
    <xf numFmtId="0" fontId="19" fillId="4" borderId="0" xfId="0" applyFont="1" applyFill="1"/>
    <xf numFmtId="0" fontId="10" fillId="0" borderId="5" xfId="0" applyFont="1" applyBorder="1" applyAlignment="1">
      <alignment vertical="top" wrapText="1"/>
    </xf>
  </cellXfs>
  <cellStyles count="2">
    <cellStyle name="Hyperlink" xfId="1" builtinId="8"/>
    <cellStyle name="Normal" xfId="0" builtinId="0"/>
  </cellStyles>
  <dxfs count="0"/>
  <tableStyles count="0" defaultTableStyle="TableStyleMedium2" defaultPivotStyle="PivotStyleLight16"/>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38"/>
  <sheetViews>
    <sheetView tabSelected="1" workbookViewId="0">
      <selection sqref="A1:N1"/>
    </sheetView>
  </sheetViews>
  <sheetFormatPr defaultRowHeight="13.2" x14ac:dyDescent="0.25"/>
  <cols>
    <col min="1" max="14" width="13.77734375" customWidth="1"/>
  </cols>
  <sheetData>
    <row r="1" spans="1:14" x14ac:dyDescent="0.25">
      <c r="A1" s="234" t="s">
        <v>116</v>
      </c>
      <c r="B1" s="234"/>
      <c r="C1" s="234"/>
      <c r="D1" s="234"/>
      <c r="E1" s="234"/>
      <c r="F1" s="234"/>
      <c r="G1" s="234"/>
      <c r="H1" s="234"/>
      <c r="I1" s="234"/>
      <c r="J1" s="234"/>
      <c r="K1" s="234"/>
      <c r="L1" s="234"/>
      <c r="M1" s="234"/>
      <c r="N1" s="234"/>
    </row>
    <row r="2" spans="1:14" ht="7.2" customHeight="1" x14ac:dyDescent="0.25">
      <c r="A2" s="236"/>
      <c r="B2" s="236"/>
      <c r="C2" s="236"/>
      <c r="D2" s="236"/>
      <c r="E2" s="236"/>
      <c r="F2" s="236"/>
      <c r="G2" s="236"/>
      <c r="H2" s="236"/>
      <c r="I2" s="236"/>
      <c r="J2" s="236"/>
      <c r="K2" s="236"/>
      <c r="L2" s="236"/>
      <c r="M2" s="236"/>
      <c r="N2" s="236"/>
    </row>
    <row r="3" spans="1:14" x14ac:dyDescent="0.25">
      <c r="A3" s="235" t="s">
        <v>398</v>
      </c>
      <c r="B3" s="235"/>
      <c r="C3" s="235"/>
      <c r="D3" s="235"/>
      <c r="E3" s="235"/>
      <c r="F3" s="235"/>
      <c r="G3" s="235"/>
      <c r="H3" s="235"/>
      <c r="I3" s="235"/>
      <c r="J3" s="235"/>
      <c r="K3" s="235"/>
      <c r="L3" s="235"/>
      <c r="M3" s="235"/>
      <c r="N3" s="235"/>
    </row>
    <row r="4" spans="1:14" s="176" customFormat="1" x14ac:dyDescent="0.25">
      <c r="A4" s="235" t="s">
        <v>424</v>
      </c>
      <c r="B4" s="235"/>
      <c r="C4" s="235"/>
      <c r="D4" s="235"/>
      <c r="E4" s="235"/>
      <c r="F4" s="235"/>
      <c r="G4" s="235"/>
      <c r="H4" s="235"/>
      <c r="I4" s="235"/>
      <c r="J4" s="235"/>
      <c r="K4" s="235"/>
      <c r="L4" s="235"/>
      <c r="M4" s="235"/>
      <c r="N4" s="235"/>
    </row>
    <row r="5" spans="1:14" x14ac:dyDescent="0.25">
      <c r="A5" s="237" t="s">
        <v>425</v>
      </c>
      <c r="B5" s="238"/>
      <c r="C5" s="238"/>
      <c r="D5" s="238"/>
      <c r="E5" s="238"/>
      <c r="F5" s="238"/>
      <c r="G5" s="238"/>
      <c r="H5" s="238"/>
      <c r="I5" s="238"/>
      <c r="J5" s="238"/>
      <c r="K5" s="238"/>
      <c r="L5" s="238"/>
      <c r="M5" s="238"/>
      <c r="N5" s="238"/>
    </row>
    <row r="6" spans="1:14" ht="7.2" customHeight="1" x14ac:dyDescent="0.25">
      <c r="A6" s="237"/>
      <c r="B6" s="237"/>
      <c r="C6" s="237"/>
      <c r="D6" s="237"/>
      <c r="E6" s="237"/>
      <c r="F6" s="237"/>
      <c r="G6" s="237"/>
      <c r="H6" s="237"/>
      <c r="I6" s="237"/>
      <c r="J6" s="237"/>
      <c r="K6" s="237"/>
      <c r="L6" s="237"/>
      <c r="M6" s="237"/>
      <c r="N6" s="237"/>
    </row>
    <row r="7" spans="1:14" x14ac:dyDescent="0.25">
      <c r="A7" s="237" t="s">
        <v>355</v>
      </c>
      <c r="B7" s="238"/>
      <c r="C7" s="238"/>
      <c r="D7" s="238"/>
      <c r="E7" s="238"/>
      <c r="F7" s="238"/>
      <c r="G7" s="238"/>
      <c r="H7" s="238"/>
      <c r="I7" s="238"/>
      <c r="J7" s="238"/>
      <c r="K7" s="238"/>
      <c r="L7" s="238"/>
      <c r="M7" s="238"/>
      <c r="N7" s="238"/>
    </row>
    <row r="8" spans="1:14" ht="7.2" customHeight="1" x14ac:dyDescent="0.25">
      <c r="A8" s="238"/>
      <c r="B8" s="238"/>
      <c r="C8" s="238"/>
      <c r="D8" s="238"/>
      <c r="E8" s="238"/>
      <c r="F8" s="238"/>
      <c r="G8" s="238"/>
      <c r="H8" s="238"/>
      <c r="I8" s="238"/>
      <c r="J8" s="238"/>
      <c r="K8" s="238"/>
      <c r="L8" s="238"/>
      <c r="M8" s="238"/>
      <c r="N8" s="238"/>
    </row>
    <row r="9" spans="1:14" x14ac:dyDescent="0.25">
      <c r="A9" s="237" t="s">
        <v>131</v>
      </c>
      <c r="B9" s="238"/>
      <c r="C9" s="238"/>
      <c r="D9" s="238"/>
      <c r="E9" s="238"/>
      <c r="F9" s="238"/>
      <c r="G9" s="238"/>
      <c r="H9" s="238"/>
      <c r="I9" s="238"/>
      <c r="J9" s="238"/>
      <c r="K9" s="238"/>
      <c r="L9" s="238"/>
      <c r="M9" s="238"/>
      <c r="N9" s="238"/>
    </row>
    <row r="10" spans="1:14" s="176" customFormat="1" x14ac:dyDescent="0.25">
      <c r="A10" s="173" t="s">
        <v>389</v>
      </c>
      <c r="B10" s="174"/>
      <c r="C10" s="174"/>
      <c r="D10" s="174"/>
      <c r="E10" s="174"/>
      <c r="F10" s="174"/>
      <c r="G10" s="174"/>
      <c r="H10" s="174"/>
      <c r="I10" s="174"/>
      <c r="J10" s="174"/>
      <c r="K10" s="174"/>
      <c r="L10" s="174"/>
      <c r="M10" s="174"/>
      <c r="N10" s="174"/>
    </row>
    <row r="11" spans="1:14" ht="7.2" customHeight="1" x14ac:dyDescent="0.25">
      <c r="A11" s="238"/>
      <c r="B11" s="238"/>
      <c r="C11" s="238"/>
      <c r="D11" s="238"/>
      <c r="E11" s="238"/>
      <c r="F11" s="238"/>
      <c r="G11" s="238"/>
      <c r="H11" s="238"/>
      <c r="I11" s="238"/>
      <c r="J11" s="238"/>
      <c r="K11" s="238"/>
      <c r="L11" s="238"/>
      <c r="M11" s="238"/>
      <c r="N11" s="238"/>
    </row>
    <row r="12" spans="1:14" x14ac:dyDescent="0.25">
      <c r="A12" s="237" t="s">
        <v>106</v>
      </c>
      <c r="B12" s="238"/>
      <c r="C12" s="238"/>
      <c r="D12" s="238"/>
      <c r="E12" s="238"/>
      <c r="F12" s="238"/>
      <c r="G12" s="238"/>
      <c r="H12" s="238"/>
      <c r="I12" s="238"/>
      <c r="J12" s="238"/>
      <c r="K12" s="238"/>
      <c r="L12" s="238"/>
      <c r="M12" s="238"/>
      <c r="N12" s="238"/>
    </row>
    <row r="13" spans="1:14" ht="7.2" customHeight="1" x14ac:dyDescent="0.25">
      <c r="A13" s="239"/>
      <c r="B13" s="239"/>
      <c r="C13" s="239"/>
      <c r="D13" s="239"/>
      <c r="E13" s="239"/>
      <c r="F13" s="239"/>
      <c r="G13" s="239"/>
      <c r="H13" s="239"/>
      <c r="I13" s="239"/>
      <c r="J13" s="239"/>
      <c r="K13" s="239"/>
      <c r="L13" s="239"/>
      <c r="M13" s="239"/>
      <c r="N13" s="239"/>
    </row>
    <row r="14" spans="1:14" x14ac:dyDescent="0.25">
      <c r="A14" s="242" t="s">
        <v>193</v>
      </c>
      <c r="B14" s="242"/>
      <c r="C14" s="242"/>
      <c r="D14" s="242"/>
      <c r="E14" s="242"/>
      <c r="F14" s="242"/>
      <c r="G14" s="242"/>
      <c r="H14" s="242"/>
      <c r="I14" s="242"/>
      <c r="J14" s="242"/>
      <c r="K14" s="242"/>
      <c r="L14" s="242"/>
      <c r="M14" s="242"/>
      <c r="N14" s="242"/>
    </row>
    <row r="15" spans="1:14" x14ac:dyDescent="0.25">
      <c r="A15" s="240" t="s">
        <v>194</v>
      </c>
      <c r="B15" s="240"/>
      <c r="C15" s="240"/>
      <c r="D15" s="240"/>
      <c r="E15" s="240"/>
      <c r="F15" s="240"/>
      <c r="G15" s="240"/>
      <c r="H15" s="240"/>
      <c r="I15" s="240"/>
      <c r="J15" s="240"/>
      <c r="K15" s="240"/>
      <c r="L15" s="240"/>
      <c r="M15" s="240"/>
      <c r="N15" s="240"/>
    </row>
    <row r="16" spans="1:14" x14ac:dyDescent="0.25">
      <c r="A16" s="241" t="s">
        <v>196</v>
      </c>
      <c r="B16" s="241"/>
      <c r="C16" s="241"/>
      <c r="D16" s="241"/>
      <c r="E16" s="241"/>
      <c r="F16" s="241"/>
      <c r="G16" s="241"/>
      <c r="H16" s="241"/>
      <c r="I16" s="241"/>
      <c r="J16" s="241"/>
      <c r="K16" s="241"/>
      <c r="L16" s="241"/>
      <c r="M16" s="241"/>
      <c r="N16" s="241"/>
    </row>
    <row r="17" spans="1:14" x14ac:dyDescent="0.25">
      <c r="A17" s="241" t="s">
        <v>197</v>
      </c>
      <c r="B17" s="241"/>
      <c r="C17" s="241"/>
      <c r="D17" s="241"/>
      <c r="E17" s="241"/>
      <c r="F17" s="241"/>
      <c r="G17" s="241"/>
      <c r="H17" s="241"/>
      <c r="I17" s="241"/>
      <c r="J17" s="241"/>
      <c r="K17" s="241"/>
      <c r="L17" s="241"/>
      <c r="M17" s="241"/>
      <c r="N17" s="241"/>
    </row>
    <row r="18" spans="1:14" x14ac:dyDescent="0.25">
      <c r="A18" s="241" t="s">
        <v>198</v>
      </c>
      <c r="B18" s="241"/>
      <c r="C18" s="241"/>
      <c r="D18" s="241"/>
      <c r="E18" s="241"/>
      <c r="F18" s="241"/>
      <c r="G18" s="241"/>
      <c r="H18" s="241"/>
      <c r="I18" s="241"/>
      <c r="J18" s="241"/>
      <c r="K18" s="241"/>
      <c r="L18" s="241"/>
      <c r="M18" s="241"/>
      <c r="N18" s="241"/>
    </row>
    <row r="19" spans="1:14" ht="7.2" customHeight="1" x14ac:dyDescent="0.25">
      <c r="A19" s="240"/>
      <c r="B19" s="240"/>
      <c r="C19" s="240"/>
      <c r="D19" s="240"/>
      <c r="E19" s="240"/>
      <c r="F19" s="240"/>
      <c r="G19" s="240"/>
      <c r="H19" s="240"/>
      <c r="I19" s="240"/>
      <c r="J19" s="240"/>
      <c r="K19" s="240"/>
      <c r="L19" s="240"/>
      <c r="M19" s="240"/>
      <c r="N19" s="240"/>
    </row>
    <row r="20" spans="1:14" x14ac:dyDescent="0.25">
      <c r="A20" s="240" t="s">
        <v>354</v>
      </c>
      <c r="B20" s="240"/>
      <c r="C20" s="240"/>
      <c r="D20" s="240"/>
      <c r="E20" s="240"/>
      <c r="F20" s="240"/>
      <c r="G20" s="240"/>
      <c r="H20" s="240"/>
      <c r="I20" s="240"/>
      <c r="J20" s="240"/>
      <c r="K20" s="240"/>
      <c r="L20" s="240"/>
      <c r="M20" s="240"/>
      <c r="N20" s="240"/>
    </row>
    <row r="21" spans="1:14" x14ac:dyDescent="0.25">
      <c r="A21" s="240" t="s">
        <v>104</v>
      </c>
      <c r="B21" s="240"/>
      <c r="C21" s="240"/>
      <c r="D21" s="240"/>
      <c r="E21" s="240"/>
      <c r="F21" s="240"/>
      <c r="G21" s="240"/>
      <c r="H21" s="240"/>
      <c r="I21" s="240"/>
      <c r="J21" s="240"/>
      <c r="K21" s="240"/>
      <c r="L21" s="240"/>
      <c r="M21" s="240"/>
      <c r="N21" s="240"/>
    </row>
    <row r="22" spans="1:14" x14ac:dyDescent="0.25">
      <c r="A22" s="240" t="s">
        <v>265</v>
      </c>
      <c r="B22" s="240"/>
      <c r="C22" s="240"/>
      <c r="D22" s="240"/>
      <c r="E22" s="240"/>
      <c r="F22" s="240"/>
      <c r="G22" s="240"/>
      <c r="H22" s="240"/>
      <c r="I22" s="240"/>
      <c r="J22" s="240"/>
      <c r="K22" s="240"/>
      <c r="L22" s="240"/>
      <c r="M22" s="240"/>
      <c r="N22" s="240"/>
    </row>
    <row r="23" spans="1:14" x14ac:dyDescent="0.25">
      <c r="A23" s="240" t="s">
        <v>356</v>
      </c>
      <c r="B23" s="240"/>
      <c r="C23" s="240"/>
      <c r="D23" s="240"/>
      <c r="E23" s="240"/>
      <c r="F23" s="240"/>
      <c r="G23" s="240"/>
      <c r="H23" s="240"/>
      <c r="I23" s="240"/>
      <c r="J23" s="240"/>
      <c r="K23" s="240"/>
      <c r="L23" s="240"/>
      <c r="M23" s="240"/>
      <c r="N23" s="240"/>
    </row>
    <row r="24" spans="1:14" s="227" customFormat="1" ht="7.2" customHeight="1" x14ac:dyDescent="0.25">
      <c r="A24" s="240"/>
      <c r="B24" s="240"/>
      <c r="C24" s="240"/>
      <c r="D24" s="240"/>
      <c r="E24" s="240"/>
      <c r="F24" s="240"/>
      <c r="G24" s="240"/>
      <c r="H24" s="240"/>
      <c r="I24" s="240"/>
      <c r="J24" s="240"/>
      <c r="K24" s="240"/>
      <c r="L24" s="240"/>
      <c r="M24" s="240"/>
      <c r="N24" s="240"/>
    </row>
    <row r="25" spans="1:14" s="227" customFormat="1" ht="12.75" customHeight="1" x14ac:dyDescent="0.25">
      <c r="A25" s="247" t="s">
        <v>457</v>
      </c>
      <c r="B25" s="247"/>
      <c r="C25" s="247"/>
      <c r="D25" s="247"/>
      <c r="E25" s="247"/>
      <c r="F25" s="247"/>
      <c r="G25" s="247"/>
      <c r="H25" s="247"/>
      <c r="I25" s="247"/>
      <c r="J25" s="247"/>
      <c r="K25" s="247"/>
      <c r="L25" s="247"/>
      <c r="M25" s="247"/>
      <c r="N25" s="247"/>
    </row>
    <row r="26" spans="1:14" s="227" customFormat="1" ht="12.75" customHeight="1" x14ac:dyDescent="0.25">
      <c r="A26" s="248" t="s">
        <v>458</v>
      </c>
      <c r="B26" s="248"/>
      <c r="C26" s="248"/>
      <c r="D26" s="248"/>
      <c r="E26" s="248"/>
      <c r="F26" s="248"/>
      <c r="G26" s="248"/>
      <c r="H26" s="248"/>
      <c r="I26" s="248"/>
      <c r="J26" s="248"/>
      <c r="K26" s="248"/>
      <c r="L26" s="248"/>
      <c r="M26" s="248"/>
      <c r="N26" s="248"/>
    </row>
    <row r="27" spans="1:14" s="227" customFormat="1" ht="7.2" customHeight="1" x14ac:dyDescent="0.25">
      <c r="A27" s="249"/>
      <c r="B27" s="249"/>
      <c r="C27" s="249"/>
      <c r="D27" s="249"/>
      <c r="E27" s="249"/>
      <c r="F27" s="249"/>
      <c r="G27" s="249"/>
      <c r="H27" s="249"/>
      <c r="I27" s="249"/>
      <c r="J27" s="249"/>
      <c r="K27" s="249"/>
      <c r="L27" s="249"/>
      <c r="M27" s="249"/>
      <c r="N27" s="249"/>
    </row>
    <row r="28" spans="1:14" s="227" customFormat="1" ht="12.75" customHeight="1" x14ac:dyDescent="0.25">
      <c r="A28" s="248" t="s">
        <v>459</v>
      </c>
      <c r="B28" s="248"/>
      <c r="C28" s="248"/>
      <c r="D28" s="248"/>
      <c r="E28" s="248"/>
      <c r="F28" s="248"/>
      <c r="G28" s="248"/>
      <c r="H28" s="248"/>
      <c r="I28" s="248"/>
      <c r="J28" s="248"/>
      <c r="K28" s="248"/>
      <c r="L28" s="248"/>
      <c r="M28" s="248"/>
      <c r="N28" s="248"/>
    </row>
    <row r="29" spans="1:14" s="227" customFormat="1" ht="12.75" customHeight="1" x14ac:dyDescent="0.25">
      <c r="A29" s="248" t="s">
        <v>454</v>
      </c>
      <c r="B29" s="248"/>
      <c r="C29" s="248"/>
      <c r="D29" s="248"/>
      <c r="E29" s="248"/>
      <c r="F29" s="248"/>
      <c r="G29" s="248"/>
      <c r="H29" s="248"/>
      <c r="I29" s="248"/>
      <c r="J29" s="248"/>
      <c r="K29" s="248"/>
      <c r="L29" s="248"/>
      <c r="M29" s="248"/>
      <c r="N29" s="248"/>
    </row>
    <row r="30" spans="1:14" s="227" customFormat="1" ht="7.2" customHeight="1" x14ac:dyDescent="0.25">
      <c r="A30" s="250"/>
      <c r="B30" s="250"/>
      <c r="C30" s="250"/>
      <c r="D30" s="250"/>
      <c r="E30" s="250"/>
      <c r="F30" s="250"/>
      <c r="G30" s="250"/>
      <c r="H30" s="250"/>
      <c r="I30" s="250"/>
      <c r="J30" s="250"/>
      <c r="K30" s="250"/>
      <c r="L30" s="250"/>
      <c r="M30" s="250"/>
      <c r="N30" s="250"/>
    </row>
    <row r="31" spans="1:14" s="227" customFormat="1" ht="12.75" customHeight="1" x14ac:dyDescent="0.25">
      <c r="A31" s="248" t="s">
        <v>460</v>
      </c>
      <c r="B31" s="248"/>
      <c r="C31" s="248"/>
      <c r="D31" s="248"/>
      <c r="E31" s="248"/>
      <c r="F31" s="248"/>
      <c r="G31" s="248"/>
      <c r="H31" s="248"/>
      <c r="I31" s="248"/>
      <c r="J31" s="248"/>
      <c r="K31" s="248"/>
      <c r="L31" s="248"/>
      <c r="M31" s="248"/>
      <c r="N31" s="248"/>
    </row>
    <row r="32" spans="1:14" s="226" customFormat="1" ht="12.75" customHeight="1" x14ac:dyDescent="0.25">
      <c r="A32" s="247" t="s">
        <v>461</v>
      </c>
      <c r="B32" s="247"/>
      <c r="C32" s="247"/>
      <c r="D32" s="247"/>
      <c r="E32" s="247"/>
      <c r="F32" s="247"/>
      <c r="G32" s="247"/>
      <c r="H32" s="247"/>
      <c r="I32" s="247"/>
      <c r="J32" s="247"/>
      <c r="K32" s="247"/>
      <c r="L32" s="247"/>
      <c r="M32" s="247"/>
      <c r="N32" s="247"/>
    </row>
    <row r="33" spans="1:14" s="226" customFormat="1" ht="12.75" customHeight="1" x14ac:dyDescent="0.25">
      <c r="A33" s="247" t="s">
        <v>465</v>
      </c>
      <c r="B33" s="247"/>
      <c r="C33" s="247"/>
      <c r="D33" s="247"/>
      <c r="E33" s="247"/>
      <c r="F33" s="247"/>
      <c r="G33" s="247"/>
      <c r="H33" s="247"/>
      <c r="I33" s="247"/>
      <c r="J33" s="247"/>
      <c r="K33" s="247"/>
      <c r="L33" s="247"/>
      <c r="M33" s="247"/>
      <c r="N33" s="247"/>
    </row>
    <row r="34" spans="1:14" s="244" customFormat="1" ht="7.2" customHeight="1" x14ac:dyDescent="0.25"/>
    <row r="35" spans="1:14" s="227" customFormat="1" ht="12.75" customHeight="1" x14ac:dyDescent="0.25">
      <c r="A35" s="247" t="s">
        <v>455</v>
      </c>
      <c r="B35" s="247"/>
      <c r="C35" s="247"/>
      <c r="D35" s="247"/>
      <c r="E35" s="247"/>
      <c r="F35" s="247"/>
      <c r="G35" s="247"/>
      <c r="H35" s="247"/>
      <c r="I35" s="247"/>
      <c r="J35" s="247"/>
      <c r="K35" s="247"/>
      <c r="L35" s="247"/>
      <c r="M35" s="247"/>
      <c r="N35" s="247"/>
    </row>
    <row r="36" spans="1:14" s="227" customFormat="1" ht="12.75" customHeight="1" x14ac:dyDescent="0.25">
      <c r="A36" s="247" t="s">
        <v>456</v>
      </c>
      <c r="B36" s="247"/>
      <c r="C36" s="247"/>
      <c r="D36" s="247"/>
      <c r="E36" s="247"/>
      <c r="F36" s="247"/>
      <c r="G36" s="247"/>
      <c r="H36" s="247"/>
      <c r="I36" s="247"/>
      <c r="J36" s="247"/>
      <c r="K36" s="247"/>
      <c r="L36" s="247"/>
      <c r="M36" s="247"/>
      <c r="N36" s="247"/>
    </row>
    <row r="37" spans="1:14" s="227" customFormat="1" ht="12.75" customHeight="1" x14ac:dyDescent="0.25">
      <c r="A37" s="243"/>
      <c r="B37" s="243"/>
      <c r="C37" s="243"/>
      <c r="D37" s="243"/>
      <c r="E37" s="243"/>
      <c r="F37" s="243"/>
      <c r="G37" s="243"/>
      <c r="H37" s="243"/>
      <c r="I37" s="243"/>
      <c r="J37" s="243"/>
      <c r="K37" s="243"/>
      <c r="L37" s="243"/>
      <c r="M37" s="243"/>
      <c r="N37" s="243"/>
    </row>
    <row r="38" spans="1:14" s="227" customFormat="1" x14ac:dyDescent="0.25">
      <c r="A38" s="245" t="s">
        <v>466</v>
      </c>
      <c r="B38" s="246"/>
      <c r="C38" s="246"/>
      <c r="D38" s="246"/>
      <c r="E38" s="246"/>
      <c r="F38" s="246"/>
      <c r="G38" s="246"/>
    </row>
  </sheetData>
  <mergeCells count="37">
    <mergeCell ref="A37:N37"/>
    <mergeCell ref="A34:XFD34"/>
    <mergeCell ref="A38:G38"/>
    <mergeCell ref="A20:N20"/>
    <mergeCell ref="A24:N24"/>
    <mergeCell ref="A25:N25"/>
    <mergeCell ref="A26:N26"/>
    <mergeCell ref="A27:N27"/>
    <mergeCell ref="A28:N28"/>
    <mergeCell ref="A29:N29"/>
    <mergeCell ref="A30:N30"/>
    <mergeCell ref="A31:N31"/>
    <mergeCell ref="A32:N32"/>
    <mergeCell ref="A33:N33"/>
    <mergeCell ref="A35:N35"/>
    <mergeCell ref="A36:N36"/>
    <mergeCell ref="A23:N23"/>
    <mergeCell ref="A19:N19"/>
    <mergeCell ref="A12:N12"/>
    <mergeCell ref="A21:N21"/>
    <mergeCell ref="A17:N17"/>
    <mergeCell ref="A14:N14"/>
    <mergeCell ref="A18:N18"/>
    <mergeCell ref="A22:N22"/>
    <mergeCell ref="A16:N16"/>
    <mergeCell ref="A15:N15"/>
    <mergeCell ref="A1:N1"/>
    <mergeCell ref="A3:N3"/>
    <mergeCell ref="A2:N2"/>
    <mergeCell ref="A5:N5"/>
    <mergeCell ref="A13:N13"/>
    <mergeCell ref="A8:N8"/>
    <mergeCell ref="A11:N11"/>
    <mergeCell ref="A6:N6"/>
    <mergeCell ref="A9:N9"/>
    <mergeCell ref="A7:N7"/>
    <mergeCell ref="A4:N4"/>
  </mergeCells>
  <phoneticPr fontId="6" type="noConversion"/>
  <pageMargins left="0.75" right="0.75" top="1" bottom="1" header="0.5" footer="0.5"/>
  <pageSetup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29"/>
  <sheetViews>
    <sheetView workbookViewId="0">
      <selection sqref="A1:D1"/>
    </sheetView>
  </sheetViews>
  <sheetFormatPr defaultRowHeight="13.2" x14ac:dyDescent="0.25"/>
  <cols>
    <col min="1" max="1" width="19.109375" customWidth="1"/>
    <col min="2" max="4" width="35.6640625" customWidth="1"/>
  </cols>
  <sheetData>
    <row r="1" spans="1:4" s="167" customFormat="1" ht="20.100000000000001" customHeight="1" x14ac:dyDescent="0.25">
      <c r="A1" s="281" t="str">
        <f>"New-Ark Area "&amp;TeamInfo!$D$5&amp;" Team Emergency Contact Information"</f>
        <v>New-Ark Area Wo/Men's Walk #NN Team Emergency Contact Information</v>
      </c>
      <c r="B1" s="281"/>
      <c r="C1" s="281"/>
      <c r="D1" s="281"/>
    </row>
    <row r="2" spans="1:4" ht="20.100000000000001" customHeight="1" x14ac:dyDescent="0.25">
      <c r="A2" s="145" t="s">
        <v>82</v>
      </c>
      <c r="B2" s="145" t="s">
        <v>322</v>
      </c>
      <c r="C2" s="145" t="s">
        <v>323</v>
      </c>
      <c r="D2" s="145" t="s">
        <v>324</v>
      </c>
    </row>
    <row r="3" spans="1:4" ht="18.899999999999999" customHeight="1" x14ac:dyDescent="0.25">
      <c r="A3" s="148" t="str">
        <f>IF(ISBLANK(TeamInfo!$B$21),"",TeamInfo!$B$21&amp;" "&amp;TeamInfo!$C$21)</f>
        <v>&lt;SD Name&gt;</v>
      </c>
      <c r="B3" s="148" t="str">
        <f>IF(ISBLANK(TeamInfo!$M$21),"",TeamInfo!$M$21)</f>
        <v/>
      </c>
      <c r="C3" s="148" t="str">
        <f>IF(ISBLANK(TeamInfo!$N$21),"",TeamInfo!$N$21)</f>
        <v/>
      </c>
      <c r="D3" s="148" t="str">
        <f>IF(ISBLANK(TeamInfo!$O$21),"",TeamInfo!$O$21)</f>
        <v/>
      </c>
    </row>
    <row r="4" spans="1:4" ht="18.899999999999999" customHeight="1" x14ac:dyDescent="0.25">
      <c r="A4" s="148" t="str">
        <f>IF(ISBLANK(TeamInfo!$B$22),"",TeamInfo!$B$22&amp;" "&amp;TeamInfo!$C$22)</f>
        <v>&lt;SD2 Name&gt;</v>
      </c>
      <c r="B4" s="148" t="str">
        <f>IF(ISBLANK(TeamInfo!$M$22),"",TeamInfo!$M$22)</f>
        <v/>
      </c>
      <c r="C4" s="148" t="str">
        <f>IF(ISBLANK(TeamInfo!$N$22),"",TeamInfo!$N$22)</f>
        <v/>
      </c>
      <c r="D4" s="148" t="str">
        <f>IF(ISBLANK(TeamInfo!$O$22),"",TeamInfo!$O$22)</f>
        <v/>
      </c>
    </row>
    <row r="5" spans="1:4" ht="18.899999999999999" customHeight="1" x14ac:dyDescent="0.25">
      <c r="A5" s="148" t="str">
        <f>IF(ISBLANK(TeamInfo!$B$23),"",TeamInfo!$B$23&amp;" "&amp;TeamInfo!$C$23)</f>
        <v>TBD -  Prevenient</v>
      </c>
      <c r="B5" s="148" t="str">
        <f>IF(ISBLANK(TeamInfo!$M$23),"",TeamInfo!$M$23)</f>
        <v/>
      </c>
      <c r="C5" s="148" t="str">
        <f>IF(ISBLANK(TeamInfo!$N$23),"",TeamInfo!$N$23)</f>
        <v/>
      </c>
      <c r="D5" s="148" t="str">
        <f>IF(ISBLANK(TeamInfo!$O$23),"",TeamInfo!$O$23)</f>
        <v/>
      </c>
    </row>
    <row r="6" spans="1:4" ht="18.899999999999999" customHeight="1" x14ac:dyDescent="0.25">
      <c r="A6" s="148" t="str">
        <f>IF(ISBLANK(TeamInfo!$B$24),"",TeamInfo!$B$24&amp;" "&amp;TeamInfo!$C$24)</f>
        <v>TBD -  Justifying</v>
      </c>
      <c r="B6" s="148" t="str">
        <f>IF(ISBLANK(TeamInfo!$M$24),"",TeamInfo!$M$24)</f>
        <v/>
      </c>
      <c r="C6" s="148" t="str">
        <f>IF(ISBLANK(TeamInfo!$N$24),"",TeamInfo!$N$24)</f>
        <v/>
      </c>
      <c r="D6" s="148" t="str">
        <f>IF(ISBLANK(TeamInfo!$O$24),"",TeamInfo!$O$24)</f>
        <v/>
      </c>
    </row>
    <row r="7" spans="1:4" ht="18.899999999999999" customHeight="1" x14ac:dyDescent="0.25">
      <c r="A7" s="148" t="str">
        <f>IF(ISBLANK(TeamInfo!$B$25),"",TeamInfo!$B$25&amp;" "&amp;TeamInfo!$C$25)</f>
        <v>TBD -  Obstacles</v>
      </c>
      <c r="B7" s="148" t="str">
        <f>IF(ISBLANK(TeamInfo!$M$25),"",TeamInfo!$M$25)</f>
        <v/>
      </c>
      <c r="C7" s="148" t="str">
        <f>IF(ISBLANK(TeamInfo!$N$25),"",TeamInfo!$N$25)</f>
        <v/>
      </c>
      <c r="D7" s="148" t="str">
        <f>IF(ISBLANK(TeamInfo!$O$25),"",TeamInfo!$O$25)</f>
        <v/>
      </c>
    </row>
    <row r="8" spans="1:4" ht="18.899999999999999" customHeight="1" x14ac:dyDescent="0.25">
      <c r="A8" s="148" t="str">
        <f>IF(ISBLANK(TeamInfo!$B$26),"",TeamInfo!$B$26&amp;" "&amp;TeamInfo!$C$26)</f>
        <v>TBD -  Sanctifying</v>
      </c>
      <c r="B8" s="148" t="str">
        <f>IF(ISBLANK(TeamInfo!$M$26),"",TeamInfo!$M$26)</f>
        <v/>
      </c>
      <c r="C8" s="148" t="str">
        <f>IF(ISBLANK(TeamInfo!$N$26),"",TeamInfo!$N$26)</f>
        <v/>
      </c>
      <c r="D8" s="148" t="str">
        <f>IF(ISBLANK(TeamInfo!$O$26),"",TeamInfo!$O$26)</f>
        <v/>
      </c>
    </row>
    <row r="9" spans="1:4" ht="18.899999999999999" customHeight="1" x14ac:dyDescent="0.25">
      <c r="A9" s="148" t="str">
        <f>IF(ISBLANK(TeamInfo!$B$27),"",TeamInfo!$B$27&amp;" "&amp;TeamInfo!$C$27)</f>
        <v>&lt;LD Name&gt;</v>
      </c>
      <c r="B9" s="148" t="str">
        <f>IF(ISBLANK(TeamInfo!$M$27),"",TeamInfo!$M$27)</f>
        <v/>
      </c>
      <c r="C9" s="148" t="str">
        <f>IF(ISBLANK(TeamInfo!$N$27),"",TeamInfo!$N$27)</f>
        <v/>
      </c>
      <c r="D9" s="148" t="str">
        <f>IF(ISBLANK(TeamInfo!$O$27),"",TeamInfo!$O$27)</f>
        <v/>
      </c>
    </row>
    <row r="10" spans="1:4" ht="18.899999999999999" customHeight="1" x14ac:dyDescent="0.25">
      <c r="A10" s="148" t="str">
        <f>IF(ISBLANK(TeamInfo!$B$28),"",TeamInfo!$B$28&amp;" "&amp;TeamInfo!$C$28)</f>
        <v>&lt;ALD1 Name&gt;</v>
      </c>
      <c r="B10" s="148" t="str">
        <f>IF(ISBLANK(TeamInfo!$M$28),"",TeamInfo!$M$28)</f>
        <v/>
      </c>
      <c r="C10" s="148" t="str">
        <f>IF(ISBLANK(TeamInfo!$N$28),"",TeamInfo!$N$28)</f>
        <v/>
      </c>
      <c r="D10" s="148" t="str">
        <f>IF(ISBLANK(TeamInfo!$O$28),"",TeamInfo!$O$28)</f>
        <v/>
      </c>
    </row>
    <row r="11" spans="1:4" ht="18.899999999999999" customHeight="1" x14ac:dyDescent="0.25">
      <c r="A11" s="148" t="str">
        <f>IF(ISBLANK(TeamInfo!$B$29),"",TeamInfo!$B$29&amp;" "&amp;TeamInfo!$C$29)</f>
        <v>&lt;ALD2 Name&gt;</v>
      </c>
      <c r="B11" s="148" t="str">
        <f>IF(ISBLANK(TeamInfo!$M$29),"",TeamInfo!$M$29)</f>
        <v/>
      </c>
      <c r="C11" s="148" t="str">
        <f>IF(ISBLANK(TeamInfo!$N$29),"",TeamInfo!$N$29)</f>
        <v/>
      </c>
      <c r="D11" s="148" t="str">
        <f>IF(ISBLANK(TeamInfo!$O$29),"",TeamInfo!$O$29)</f>
        <v/>
      </c>
    </row>
    <row r="12" spans="1:4" ht="18.899999999999999" customHeight="1" x14ac:dyDescent="0.25">
      <c r="A12" s="148" t="str">
        <f>IF(ISBLANK(TeamInfo!$B$30),"",TeamInfo!$B$30&amp;" "&amp;TeamInfo!$C$30)</f>
        <v>&lt;ALD3 Name&gt;</v>
      </c>
      <c r="B12" s="148" t="str">
        <f>IF(ISBLANK(TeamInfo!$M$30),"",TeamInfo!$M$30)</f>
        <v/>
      </c>
      <c r="C12" s="148" t="str">
        <f>IF(ISBLANK(TeamInfo!$N$30),"",TeamInfo!$N$30)</f>
        <v/>
      </c>
      <c r="D12" s="148" t="str">
        <f>IF(ISBLANK(TeamInfo!$O$30),"",TeamInfo!$O$30)</f>
        <v/>
      </c>
    </row>
    <row r="13" spans="1:4" ht="18.899999999999999" customHeight="1" x14ac:dyDescent="0.25">
      <c r="A13" s="148" t="str">
        <f>IF(ISBLANK(TeamInfo!$B$31),"",TeamInfo!$B$31&amp;" "&amp;TeamInfo!$C$31)</f>
        <v>&lt;BR Name&gt;</v>
      </c>
      <c r="B13" s="148" t="str">
        <f>IF(ISBLANK(TeamInfo!$M$31),"",TeamInfo!$M$31)</f>
        <v/>
      </c>
      <c r="C13" s="148" t="str">
        <f>IF(ISBLANK(TeamInfo!$N$31),"",TeamInfo!$N$31)</f>
        <v/>
      </c>
      <c r="D13" s="148" t="str">
        <f>IF(ISBLANK(TeamInfo!$O$31),"",TeamInfo!$O$31)</f>
        <v/>
      </c>
    </row>
    <row r="14" spans="1:4" ht="18.899999999999999" customHeight="1" x14ac:dyDescent="0.25">
      <c r="A14" s="148" t="str">
        <f>IF(ISBLANK(TeamInfo!$B$32),"",TeamInfo!$B$32&amp;" "&amp;TeamInfo!$C$32)</f>
        <v>&lt;TD Name&gt;</v>
      </c>
      <c r="B14" s="148" t="str">
        <f>IF(ISBLANK(TeamInfo!$M$32),"",TeamInfo!$M$32)</f>
        <v/>
      </c>
      <c r="C14" s="148" t="str">
        <f>IF(ISBLANK(TeamInfo!$N$32),"",TeamInfo!$N$32)</f>
        <v/>
      </c>
      <c r="D14" s="148" t="str">
        <f>IF(ISBLANK(TeamInfo!$O$32),"",TeamInfo!$O$32)</f>
        <v/>
      </c>
    </row>
    <row r="15" spans="1:4" ht="18.899999999999999" customHeight="1" x14ac:dyDescent="0.25">
      <c r="A15" s="148" t="str">
        <f>IF(ISBLANK(TeamInfo!$B$33),"",TeamInfo!$B$33&amp;" "&amp;TeamInfo!$C$33)</f>
        <v>&lt;TD2 Name&gt;</v>
      </c>
      <c r="B15" s="148" t="str">
        <f>IF(ISBLANK(TeamInfo!$M$33),"",TeamInfo!$M$33)</f>
        <v/>
      </c>
      <c r="C15" s="148" t="str">
        <f>IF(ISBLANK(TeamInfo!$N$33),"",TeamInfo!$N$33)</f>
        <v/>
      </c>
      <c r="D15" s="148" t="str">
        <f>IF(ISBLANK(TeamInfo!$O$33),"",TeamInfo!$O$33)</f>
        <v/>
      </c>
    </row>
    <row r="16" spans="1:4" ht="18.899999999999999" customHeight="1" x14ac:dyDescent="0.25">
      <c r="A16" s="148" t="str">
        <f>IF(ISBLANK(TeamInfo!$B$34),"",TeamInfo!$B$34&amp;" "&amp;TeamInfo!$C$34)</f>
        <v>&lt;MD Name&gt;</v>
      </c>
      <c r="B16" s="148" t="str">
        <f>IF(ISBLANK(TeamInfo!$M$34),"",TeamInfo!$M$34)</f>
        <v/>
      </c>
      <c r="C16" s="148" t="str">
        <f>IF(ISBLANK(TeamInfo!$N$34),"",TeamInfo!$N$34)</f>
        <v/>
      </c>
      <c r="D16" s="148" t="str">
        <f>IF(ISBLANK(TeamInfo!$O$34),"",TeamInfo!$O$34)</f>
        <v/>
      </c>
    </row>
    <row r="17" spans="1:4" ht="18.899999999999999" customHeight="1" x14ac:dyDescent="0.25">
      <c r="A17" s="148" t="str">
        <f>IF(ISBLANK(TeamInfo!$B$35),"",TeamInfo!$B$35&amp;" "&amp;TeamInfo!$C$35)</f>
        <v>&lt;MD2 Name&gt;</v>
      </c>
      <c r="B17" s="148" t="str">
        <f>IF(ISBLANK(TeamInfo!$M$35),"",TeamInfo!$M$35)</f>
        <v/>
      </c>
      <c r="C17" s="148" t="str">
        <f>IF(ISBLANK(TeamInfo!$N$35),"",TeamInfo!$N$35)</f>
        <v/>
      </c>
      <c r="D17" s="148" t="str">
        <f>IF(ISBLANK(TeamInfo!$O$35),"",TeamInfo!$O$35)</f>
        <v/>
      </c>
    </row>
    <row r="18" spans="1:4" ht="18.899999999999999" customHeight="1" x14ac:dyDescent="0.25">
      <c r="A18" s="148" t="str">
        <f>IF(ISBLANK(TeamInfo!$B$36),"",TeamInfo!$B$36&amp;" "&amp;TeamInfo!$C$36)</f>
        <v>&lt;TL1 Name&gt;</v>
      </c>
      <c r="B18" s="148" t="str">
        <f>IF(ISBLANK(TeamInfo!$M$36),"",TeamInfo!$M$36)</f>
        <v/>
      </c>
      <c r="C18" s="148" t="str">
        <f>IF(ISBLANK(TeamInfo!$N$36),"",TeamInfo!$N$36)</f>
        <v/>
      </c>
      <c r="D18" s="148" t="str">
        <f>IF(ISBLANK(TeamInfo!$O$36),"",TeamInfo!$O$36)</f>
        <v/>
      </c>
    </row>
    <row r="19" spans="1:4" ht="18.899999999999999" customHeight="1" x14ac:dyDescent="0.25">
      <c r="A19" s="148" t="str">
        <f>IF(ISBLANK(TeamInfo!$B$37),"",TeamInfo!$B$37&amp;" "&amp;TeamInfo!$C$37)</f>
        <v>&lt;ATL1 Name&gt;</v>
      </c>
      <c r="B19" s="148" t="str">
        <f>IF(ISBLANK(TeamInfo!$M$37),"",TeamInfo!$M$37)</f>
        <v/>
      </c>
      <c r="C19" s="148" t="str">
        <f>IF(ISBLANK(TeamInfo!$N$37),"",TeamInfo!$N$37)</f>
        <v/>
      </c>
      <c r="D19" s="148" t="str">
        <f>IF(ISBLANK(TeamInfo!$O$37),"",TeamInfo!$O$37)</f>
        <v/>
      </c>
    </row>
    <row r="20" spans="1:4" ht="18.899999999999999" customHeight="1" x14ac:dyDescent="0.25">
      <c r="A20" s="148" t="str">
        <f>IF(ISBLANK(TeamInfo!$B$38),"",TeamInfo!$B$38&amp;" "&amp;TeamInfo!$C$38)</f>
        <v>&lt;TL2 Name&gt;</v>
      </c>
      <c r="B20" s="148" t="str">
        <f>IF(ISBLANK(TeamInfo!$M$38),"",TeamInfo!$M$38)</f>
        <v/>
      </c>
      <c r="C20" s="148" t="str">
        <f>IF(ISBLANK(TeamInfo!$N$38),"",TeamInfo!$N$38)</f>
        <v/>
      </c>
      <c r="D20" s="148" t="str">
        <f>IF(ISBLANK(TeamInfo!$O$38),"",TeamInfo!$O$38)</f>
        <v/>
      </c>
    </row>
    <row r="21" spans="1:4" ht="18.899999999999999" customHeight="1" x14ac:dyDescent="0.25">
      <c r="A21" s="148" t="str">
        <f>IF(ISBLANK(TeamInfo!$B$39),"",TeamInfo!$B$39&amp;" "&amp;TeamInfo!$C$39)</f>
        <v>&lt;ATL2 Name&gt;</v>
      </c>
      <c r="B21" s="148" t="str">
        <f>IF(ISBLANK(TeamInfo!$M$39),"",TeamInfo!$M$39)</f>
        <v/>
      </c>
      <c r="C21" s="148" t="str">
        <f>IF(ISBLANK(TeamInfo!$N$39),"",TeamInfo!$N$39)</f>
        <v/>
      </c>
      <c r="D21" s="148" t="str">
        <f>IF(ISBLANK(TeamInfo!$O$39),"",TeamInfo!$O$39)</f>
        <v/>
      </c>
    </row>
    <row r="22" spans="1:4" ht="18.899999999999999" customHeight="1" x14ac:dyDescent="0.25">
      <c r="A22" s="148" t="str">
        <f>IF(ISBLANK(TeamInfo!$B$40),"",TeamInfo!$B$40&amp;" "&amp;TeamInfo!$C$40)</f>
        <v>&lt;TL3 Name&gt;</v>
      </c>
      <c r="B22" s="148" t="str">
        <f>IF(ISBLANK(TeamInfo!$M$40),"",TeamInfo!$M$40)</f>
        <v/>
      </c>
      <c r="C22" s="148" t="str">
        <f>IF(ISBLANK(TeamInfo!$N$40),"",TeamInfo!$N$40)</f>
        <v/>
      </c>
      <c r="D22" s="148" t="str">
        <f>IF(ISBLANK(TeamInfo!$O$40),"",TeamInfo!$O$40)</f>
        <v/>
      </c>
    </row>
    <row r="23" spans="1:4" ht="18.899999999999999" customHeight="1" x14ac:dyDescent="0.25">
      <c r="A23" s="148" t="str">
        <f>IF(ISBLANK(TeamInfo!$B$41),"",TeamInfo!$B$41&amp;" "&amp;TeamInfo!$C$41)</f>
        <v>&lt;ATL3 Name&gt;</v>
      </c>
      <c r="B23" s="148" t="str">
        <f>IF(ISBLANK(TeamInfo!$M$41),"",TeamInfo!$M$41)</f>
        <v/>
      </c>
      <c r="C23" s="148" t="str">
        <f>IF(ISBLANK(TeamInfo!$N$41),"",TeamInfo!$N$41)</f>
        <v/>
      </c>
      <c r="D23" s="148" t="str">
        <f>IF(ISBLANK(TeamInfo!$O$41),"",TeamInfo!$O$41)</f>
        <v/>
      </c>
    </row>
    <row r="24" spans="1:4" ht="18.899999999999999" customHeight="1" x14ac:dyDescent="0.25">
      <c r="A24" s="148" t="str">
        <f>IF(ISBLANK(TeamInfo!$B$42),"",TeamInfo!$B$42&amp;" "&amp;TeamInfo!$C$42)</f>
        <v>&lt;TL4 Name&gt;</v>
      </c>
      <c r="B24" s="148" t="str">
        <f>IF(ISBLANK(TeamInfo!$M$42),"",TeamInfo!$M$42)</f>
        <v/>
      </c>
      <c r="C24" s="148" t="str">
        <f>IF(ISBLANK(TeamInfo!$N$42),"",TeamInfo!$N$42)</f>
        <v/>
      </c>
      <c r="D24" s="148" t="str">
        <f>IF(ISBLANK(TeamInfo!$O$42),"",TeamInfo!$O$42)</f>
        <v/>
      </c>
    </row>
    <row r="25" spans="1:4" ht="18.899999999999999" customHeight="1" x14ac:dyDescent="0.25">
      <c r="A25" s="148" t="str">
        <f>IF(ISBLANK(TeamInfo!$B$43),"",TeamInfo!$B$43&amp;" "&amp;TeamInfo!$C$43)</f>
        <v>&lt;ATL4 Name&gt;</v>
      </c>
      <c r="B25" s="148" t="str">
        <f>IF(ISBLANK(TeamInfo!$M$43),"",TeamInfo!$M$43)</f>
        <v/>
      </c>
      <c r="C25" s="148" t="str">
        <f>IF(ISBLANK(TeamInfo!$N$43),"",TeamInfo!$N$43)</f>
        <v/>
      </c>
      <c r="D25" s="148" t="str">
        <f>IF(ISBLANK(TeamInfo!$O$43),"",TeamInfo!$O$43)</f>
        <v/>
      </c>
    </row>
    <row r="26" spans="1:4" ht="18.899999999999999" customHeight="1" x14ac:dyDescent="0.25">
      <c r="A26" s="148" t="str">
        <f>IF(ISBLANK(TeamInfo!$B$44),"",TeamInfo!$B$44&amp;" "&amp;TeamInfo!$C$44)</f>
        <v>&lt;TL5 Name&gt;</v>
      </c>
      <c r="B26" s="148" t="str">
        <f>IF(ISBLANK(TeamInfo!$M$44),"",TeamInfo!$M$44)</f>
        <v/>
      </c>
      <c r="C26" s="148" t="str">
        <f>IF(ISBLANK(TeamInfo!$N$44),"",TeamInfo!$N$44)</f>
        <v/>
      </c>
      <c r="D26" s="148" t="str">
        <f>IF(ISBLANK(TeamInfo!$O$44),"",TeamInfo!$O$44)</f>
        <v/>
      </c>
    </row>
    <row r="27" spans="1:4" ht="18.899999999999999" customHeight="1" x14ac:dyDescent="0.25">
      <c r="A27" s="148" t="str">
        <f>IF(ISBLANK(TeamInfo!$B$45),"",TeamInfo!$B$45&amp;" "&amp;TeamInfo!$C$45)</f>
        <v>&lt;ATL5 Name&gt;</v>
      </c>
      <c r="B27" s="148" t="str">
        <f>IF(ISBLANK(TeamInfo!$M$45),"",TeamInfo!$M$45)</f>
        <v/>
      </c>
      <c r="C27" s="148" t="str">
        <f>IF(ISBLANK(TeamInfo!$N$45),"",TeamInfo!$N$45)</f>
        <v/>
      </c>
      <c r="D27" s="148" t="str">
        <f>IF(ISBLANK(TeamInfo!$O$45),"",TeamInfo!$O$45)</f>
        <v/>
      </c>
    </row>
    <row r="28" spans="1:4" ht="18.899999999999999" customHeight="1" x14ac:dyDescent="0.25">
      <c r="A28" s="148" t="str">
        <f>IF(ISBLANK(TeamInfo!$B$46),"",TeamInfo!$B$46&amp;" "&amp;TeamInfo!$C$46)</f>
        <v>&lt;TL6 Name&gt;</v>
      </c>
      <c r="B28" s="148" t="str">
        <f>IF(ISBLANK(TeamInfo!$M$46),"",TeamInfo!$M$46)</f>
        <v/>
      </c>
      <c r="C28" s="148" t="str">
        <f>IF(ISBLANK(TeamInfo!$N$46),"",TeamInfo!$N$46)</f>
        <v/>
      </c>
      <c r="D28" s="148" t="str">
        <f>IF(ISBLANK(TeamInfo!$O$46),"",TeamInfo!$O$46)</f>
        <v/>
      </c>
    </row>
    <row r="29" spans="1:4" ht="18.899999999999999" customHeight="1" x14ac:dyDescent="0.25">
      <c r="A29" s="148" t="str">
        <f>IF(ISBLANK(TeamInfo!$B$47),"",TeamInfo!$B$47&amp;" "&amp;TeamInfo!$C$47)</f>
        <v>&lt;TL7 Name&gt;</v>
      </c>
      <c r="B29" s="148" t="str">
        <f>IF(ISBLANK(TeamInfo!$M$47),"",TeamInfo!$M$47)</f>
        <v/>
      </c>
      <c r="C29" s="148" t="str">
        <f>IF(ISBLANK(TeamInfo!$N$47),"",TeamInfo!$N$47)</f>
        <v/>
      </c>
      <c r="D29" s="148" t="str">
        <f>IF(ISBLANK(TeamInfo!$O$47),"",TeamInfo!$O$47)</f>
        <v/>
      </c>
    </row>
  </sheetData>
  <mergeCells count="1">
    <mergeCell ref="A1:D1"/>
  </mergeCells>
  <pageMargins left="0.59" right="0.45" top="0.6" bottom="0.4" header="0.26" footer="0.28999999999999998"/>
  <pageSetup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3FB5A7-5989-49AD-B26D-641BFF951A09}">
  <sheetPr>
    <pageSetUpPr fitToPage="1"/>
  </sheetPr>
  <dimension ref="A1:F22"/>
  <sheetViews>
    <sheetView workbookViewId="0">
      <selection sqref="A1:E1"/>
    </sheetView>
  </sheetViews>
  <sheetFormatPr defaultRowHeight="13.2" x14ac:dyDescent="0.25"/>
  <cols>
    <col min="1" max="2" width="23.5546875" style="168" customWidth="1"/>
    <col min="3" max="3" width="2.33203125" style="168" customWidth="1"/>
    <col min="4" max="5" width="23.5546875" style="168" customWidth="1"/>
    <col min="6" max="16384" width="8.88671875" style="168"/>
  </cols>
  <sheetData>
    <row r="1" spans="1:6" s="104" customFormat="1" ht="18" x14ac:dyDescent="0.35">
      <c r="A1" s="257" t="str">
        <f>+"New-Ark Area Emmaus "&amp;TeamInfo!D5&amp;" "&amp;TeamInfo!D6</f>
        <v xml:space="preserve">New-Ark Area Emmaus Wo/Men's Walk #NN </v>
      </c>
      <c r="B1" s="257"/>
      <c r="C1" s="257"/>
      <c r="D1" s="257"/>
      <c r="E1" s="257"/>
    </row>
    <row r="2" spans="1:6" ht="17.399999999999999" x14ac:dyDescent="0.3">
      <c r="A2" s="170" t="s">
        <v>291</v>
      </c>
      <c r="B2" s="169"/>
      <c r="C2" s="169"/>
      <c r="D2" s="282">
        <f>+Schedule!B11</f>
        <v>36557</v>
      </c>
      <c r="E2" s="282"/>
    </row>
    <row r="3" spans="1:6" ht="6" customHeight="1" x14ac:dyDescent="0.25">
      <c r="A3" s="14"/>
    </row>
    <row r="4" spans="1:6" ht="16.8" x14ac:dyDescent="0.3">
      <c r="A4" s="172" t="s">
        <v>364</v>
      </c>
      <c r="B4" s="284" t="s">
        <v>394</v>
      </c>
      <c r="C4" s="284"/>
      <c r="D4" s="284"/>
      <c r="E4" s="284"/>
    </row>
    <row r="5" spans="1:6" ht="16.8" x14ac:dyDescent="0.3">
      <c r="A5" s="182" t="s">
        <v>3</v>
      </c>
      <c r="B5" s="92" t="str">
        <f>+Schedule!C11</f>
        <v>&lt;BR Name&gt;</v>
      </c>
    </row>
    <row r="6" spans="1:6" ht="16.8" x14ac:dyDescent="0.3">
      <c r="A6" s="182" t="s">
        <v>270</v>
      </c>
      <c r="B6" s="92" t="str">
        <f>+TeamInfo!D8</f>
        <v>Tracy Van Winkle</v>
      </c>
      <c r="C6" s="172" t="s">
        <v>435</v>
      </c>
      <c r="D6" s="172"/>
      <c r="E6" s="172"/>
      <c r="F6" s="172"/>
    </row>
    <row r="7" spans="1:6" ht="16.8" x14ac:dyDescent="0.3">
      <c r="A7" s="182" t="s">
        <v>279</v>
      </c>
      <c r="B7" s="103" t="str">
        <f>CONCATENATE("     "&amp;+Schedule!E11&amp;",  "&amp;+Schedule!E12&amp;",  "&amp;+Schedule!E13,IF(ISBLANK(Schedule!E14),"",",  "&amp;Schedule!E14))</f>
        <v xml:space="preserve">     &lt;MD Name&gt;,  &lt;ALD3 Name&gt;,  &lt;ATL5 Name&gt;</v>
      </c>
      <c r="C7" s="92"/>
      <c r="D7" s="92"/>
      <c r="E7" s="92"/>
      <c r="F7" s="95"/>
    </row>
    <row r="8" spans="1:6" ht="16.8" x14ac:dyDescent="0.3">
      <c r="A8" s="182" t="s">
        <v>31</v>
      </c>
      <c r="B8" s="92" t="str">
        <f>+TeamInfo!F21</f>
        <v>&lt;SD Name&gt;</v>
      </c>
      <c r="C8" s="94"/>
      <c r="D8" s="94" t="str">
        <f>IF(ISBLANK(TeamInfo!F22),"",TeamInfo!F22)</f>
        <v>&lt;SD2 Name&gt;</v>
      </c>
    </row>
    <row r="9" spans="1:6" s="232" customFormat="1" ht="16.8" x14ac:dyDescent="0.3">
      <c r="A9" s="182" t="s">
        <v>214</v>
      </c>
      <c r="B9" s="92" t="str">
        <f>+TeamInfo!F31</f>
        <v>&lt;BR Name&gt;</v>
      </c>
      <c r="C9" s="233" t="s">
        <v>434</v>
      </c>
      <c r="D9" s="75"/>
      <c r="E9" s="73"/>
    </row>
    <row r="10" spans="1:6" ht="16.2" customHeight="1" x14ac:dyDescent="0.3">
      <c r="A10" s="182" t="s">
        <v>33</v>
      </c>
      <c r="B10" s="172"/>
      <c r="C10" s="172"/>
      <c r="D10" s="172"/>
      <c r="E10" s="172"/>
    </row>
    <row r="11" spans="1:6" s="73" customFormat="1" ht="18" customHeight="1" x14ac:dyDescent="0.3">
      <c r="A11" s="186" t="str">
        <f>+Schedule!D11</f>
        <v>Fourth Day</v>
      </c>
      <c r="B11" s="187" t="str">
        <f>+Schedule!D12</f>
        <v>&lt;ALD1 Name&gt;</v>
      </c>
      <c r="C11" s="188" t="s">
        <v>20</v>
      </c>
      <c r="D11" s="186" t="str">
        <f>+Schedule!D13</f>
        <v>Priority</v>
      </c>
      <c r="E11" s="187" t="str">
        <f>+Schedule!D14</f>
        <v>&lt;ALD2 Name&gt;</v>
      </c>
    </row>
    <row r="12" spans="1:6" ht="16.8" x14ac:dyDescent="0.3">
      <c r="A12" s="182" t="s">
        <v>48</v>
      </c>
      <c r="B12" s="92" t="str">
        <f>+TeamInfo!F27</f>
        <v>&lt;LD Name&gt;</v>
      </c>
      <c r="C12" s="95"/>
      <c r="D12" s="95"/>
      <c r="E12" s="95"/>
    </row>
    <row r="13" spans="1:6" ht="16.8" x14ac:dyDescent="0.3">
      <c r="A13" s="172"/>
      <c r="B13" s="92"/>
      <c r="C13" s="171"/>
      <c r="D13" s="75"/>
      <c r="E13" s="73"/>
    </row>
    <row r="14" spans="1:6" ht="16.8" x14ac:dyDescent="0.3">
      <c r="A14" s="215" t="s">
        <v>365</v>
      </c>
      <c r="B14" s="283" t="s">
        <v>368</v>
      </c>
      <c r="C14" s="283"/>
      <c r="D14" s="283"/>
      <c r="E14" s="283"/>
      <c r="F14" s="172"/>
    </row>
    <row r="15" spans="1:6" ht="16.8" x14ac:dyDescent="0.3">
      <c r="A15" s="172"/>
      <c r="B15" s="283" t="s">
        <v>426</v>
      </c>
      <c r="C15" s="283"/>
      <c r="D15" s="283"/>
      <c r="E15" s="283"/>
      <c r="F15" s="172"/>
    </row>
    <row r="16" spans="1:6" s="184" customFormat="1" ht="16.8" x14ac:dyDescent="0.3">
      <c r="A16" s="185"/>
      <c r="B16" s="182" t="s">
        <v>427</v>
      </c>
      <c r="C16" s="185"/>
      <c r="D16" s="185"/>
      <c r="E16" s="185"/>
      <c r="F16" s="185"/>
    </row>
    <row r="17" spans="1:5" ht="16.8" customHeight="1" x14ac:dyDescent="0.3">
      <c r="A17" s="14"/>
      <c r="B17" s="283" t="s">
        <v>442</v>
      </c>
      <c r="C17" s="283"/>
      <c r="D17" s="283"/>
      <c r="E17" s="283"/>
    </row>
    <row r="18" spans="1:5" ht="16.8" x14ac:dyDescent="0.3">
      <c r="A18" s="73"/>
      <c r="B18" s="283" t="s">
        <v>375</v>
      </c>
      <c r="C18" s="283"/>
      <c r="D18" s="283"/>
      <c r="E18" s="283"/>
    </row>
    <row r="19" spans="1:5" ht="16.8" x14ac:dyDescent="0.3">
      <c r="A19" s="73"/>
      <c r="B19" s="283"/>
      <c r="C19" s="283"/>
      <c r="D19" s="283"/>
      <c r="E19" s="283"/>
    </row>
    <row r="20" spans="1:5" ht="16.8" customHeight="1" x14ac:dyDescent="0.3">
      <c r="A20" s="172" t="s">
        <v>374</v>
      </c>
      <c r="B20" s="283" t="s">
        <v>376</v>
      </c>
      <c r="C20" s="283"/>
      <c r="D20" s="283"/>
      <c r="E20" s="283"/>
    </row>
    <row r="21" spans="1:5" ht="16.8" x14ac:dyDescent="0.3">
      <c r="B21" s="283" t="s">
        <v>377</v>
      </c>
      <c r="C21" s="283"/>
      <c r="D21" s="283"/>
      <c r="E21" s="283"/>
    </row>
    <row r="22" spans="1:5" ht="16.8" x14ac:dyDescent="0.3">
      <c r="B22" s="283" t="s">
        <v>378</v>
      </c>
      <c r="C22" s="283"/>
      <c r="D22" s="283"/>
      <c r="E22" s="283"/>
    </row>
  </sheetData>
  <mergeCells count="11">
    <mergeCell ref="A1:E1"/>
    <mergeCell ref="D2:E2"/>
    <mergeCell ref="B22:E22"/>
    <mergeCell ref="B4:E4"/>
    <mergeCell ref="B14:E14"/>
    <mergeCell ref="B15:E15"/>
    <mergeCell ref="B17:E17"/>
    <mergeCell ref="B18:E18"/>
    <mergeCell ref="B19:E19"/>
    <mergeCell ref="B20:E20"/>
    <mergeCell ref="B21:E21"/>
  </mergeCells>
  <pageMargins left="0.7" right="0.7" top="0.75" bottom="0.75" header="0.3" footer="0.3"/>
  <pageSetup scale="94"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88"/>
  <sheetViews>
    <sheetView workbookViewId="0">
      <selection sqref="A1:E1"/>
    </sheetView>
  </sheetViews>
  <sheetFormatPr defaultRowHeight="13.2" x14ac:dyDescent="0.25"/>
  <cols>
    <col min="1" max="2" width="23.5546875" customWidth="1"/>
    <col min="3" max="3" width="2.33203125" customWidth="1"/>
    <col min="4" max="4" width="23.5546875" customWidth="1"/>
    <col min="5" max="5" width="24.44140625" customWidth="1"/>
  </cols>
  <sheetData>
    <row r="1" spans="1:6" s="104" customFormat="1" ht="18" x14ac:dyDescent="0.35">
      <c r="A1" s="257" t="str">
        <f>+"New-Ark Area Emmaus "&amp;TeamInfo!D5&amp;" "&amp;TeamInfo!D6</f>
        <v xml:space="preserve">New-Ark Area Emmaus Wo/Men's Walk #NN </v>
      </c>
      <c r="B1" s="257"/>
      <c r="C1" s="257"/>
      <c r="D1" s="257"/>
      <c r="E1" s="257"/>
    </row>
    <row r="2" spans="1:6" ht="17.399999999999999" x14ac:dyDescent="0.3">
      <c r="A2" s="68" t="s">
        <v>291</v>
      </c>
      <c r="B2" s="21"/>
      <c r="C2" s="21"/>
      <c r="D2" s="282">
        <f>+Schedule!B11</f>
        <v>36557</v>
      </c>
      <c r="E2" s="282"/>
    </row>
    <row r="3" spans="1:6" ht="6" customHeight="1" x14ac:dyDescent="0.25">
      <c r="A3" s="14"/>
    </row>
    <row r="4" spans="1:6" ht="16.8" x14ac:dyDescent="0.3">
      <c r="A4" s="69" t="s">
        <v>27</v>
      </c>
      <c r="B4" s="74" t="s">
        <v>26</v>
      </c>
    </row>
    <row r="5" spans="1:6" ht="16.8" x14ac:dyDescent="0.3">
      <c r="A5" s="69" t="s">
        <v>3</v>
      </c>
      <c r="B5" s="92" t="str">
        <f>+Schedule!C11</f>
        <v>&lt;BR Name&gt;</v>
      </c>
    </row>
    <row r="6" spans="1:6" ht="16.8" x14ac:dyDescent="0.3">
      <c r="A6" s="69" t="s">
        <v>279</v>
      </c>
      <c r="B6" s="103" t="str">
        <f>CONCATENATE("     "&amp;+Schedule!E11&amp;",  "&amp;+Schedule!E12&amp;",  "&amp;+Schedule!E13,IF(ISBLANK(Schedule!E14),"",",  "&amp;Schedule!E14))</f>
        <v xml:space="preserve">     &lt;MD Name&gt;,  &lt;ALD3 Name&gt;,  &lt;ATL5 Name&gt;</v>
      </c>
      <c r="C6" s="92"/>
      <c r="D6" s="92"/>
      <c r="E6" s="92"/>
      <c r="F6" s="95"/>
    </row>
    <row r="7" spans="1:6" ht="16.8" x14ac:dyDescent="0.3">
      <c r="A7" s="69" t="s">
        <v>25</v>
      </c>
    </row>
    <row r="8" spans="1:6" ht="16.8" x14ac:dyDescent="0.3">
      <c r="A8" s="69" t="s">
        <v>28</v>
      </c>
      <c r="B8" s="93"/>
    </row>
    <row r="9" spans="1:6" ht="16.8" x14ac:dyDescent="0.3">
      <c r="A9" s="69" t="s">
        <v>29</v>
      </c>
      <c r="B9" s="92" t="str">
        <f>+TeamInfo!F27</f>
        <v>&lt;LD Name&gt;</v>
      </c>
      <c r="C9" s="69" t="s">
        <v>325</v>
      </c>
      <c r="D9" s="69"/>
      <c r="E9" s="69"/>
      <c r="F9" s="69"/>
    </row>
    <row r="10" spans="1:6" ht="16.8" x14ac:dyDescent="0.3">
      <c r="A10" s="69"/>
      <c r="B10" s="17"/>
      <c r="C10" s="69"/>
      <c r="D10" s="69" t="s">
        <v>379</v>
      </c>
      <c r="E10" s="69"/>
      <c r="F10" s="69"/>
    </row>
    <row r="11" spans="1:6" ht="16.8" x14ac:dyDescent="0.3">
      <c r="A11" s="69"/>
      <c r="B11" s="17"/>
      <c r="C11" s="69" t="s">
        <v>271</v>
      </c>
      <c r="D11" s="69"/>
      <c r="E11" s="69"/>
      <c r="F11" s="69"/>
    </row>
    <row r="12" spans="1:6" ht="16.8" x14ac:dyDescent="0.3">
      <c r="A12" s="69"/>
      <c r="B12" s="17"/>
      <c r="C12" s="69"/>
      <c r="D12" s="69" t="s">
        <v>272</v>
      </c>
      <c r="E12" s="69"/>
      <c r="F12" s="69"/>
    </row>
    <row r="13" spans="1:6" ht="16.8" x14ac:dyDescent="0.3">
      <c r="A13" s="69"/>
      <c r="B13" s="17"/>
      <c r="C13" s="69" t="s">
        <v>273</v>
      </c>
      <c r="D13" s="69"/>
      <c r="E13" s="69"/>
      <c r="F13" s="69"/>
    </row>
    <row r="14" spans="1:6" ht="9" customHeight="1" x14ac:dyDescent="0.25">
      <c r="A14" s="14"/>
    </row>
    <row r="15" spans="1:6" ht="16.8" x14ac:dyDescent="0.3">
      <c r="A15" s="69" t="s">
        <v>30</v>
      </c>
      <c r="C15" s="69" t="s">
        <v>464</v>
      </c>
      <c r="D15" s="69"/>
      <c r="E15" s="69"/>
      <c r="F15" s="69"/>
    </row>
    <row r="16" spans="1:6" ht="16.8" x14ac:dyDescent="0.3">
      <c r="A16" s="71" t="s">
        <v>276</v>
      </c>
      <c r="C16" s="69"/>
      <c r="D16" s="69"/>
      <c r="E16" s="69"/>
      <c r="F16" s="69"/>
    </row>
    <row r="17" spans="1:6" ht="16.8" x14ac:dyDescent="0.3">
      <c r="A17" s="71" t="s">
        <v>277</v>
      </c>
      <c r="C17" s="69"/>
      <c r="D17" s="69"/>
      <c r="E17" s="69"/>
      <c r="F17" s="69"/>
    </row>
    <row r="18" spans="1:6" ht="16.8" x14ac:dyDescent="0.3">
      <c r="A18" s="71" t="s">
        <v>462</v>
      </c>
      <c r="C18" s="69"/>
      <c r="D18" s="69"/>
      <c r="E18" s="69"/>
      <c r="F18" s="69"/>
    </row>
    <row r="19" spans="1:6" ht="16.8" x14ac:dyDescent="0.3">
      <c r="A19" s="71" t="s">
        <v>278</v>
      </c>
      <c r="C19" s="69"/>
      <c r="D19" s="69"/>
      <c r="E19" s="69"/>
      <c r="F19" s="69"/>
    </row>
    <row r="20" spans="1:6" ht="9" customHeight="1" x14ac:dyDescent="0.3">
      <c r="A20" s="72"/>
      <c r="C20" s="69"/>
      <c r="D20" s="69"/>
      <c r="E20" s="69"/>
      <c r="F20" s="69"/>
    </row>
    <row r="21" spans="1:6" ht="16.8" x14ac:dyDescent="0.3">
      <c r="A21" s="69" t="s">
        <v>31</v>
      </c>
      <c r="B21" s="92" t="str">
        <f>+TeamInfo!F21</f>
        <v>&lt;SD Name&gt;</v>
      </c>
      <c r="C21" s="94"/>
      <c r="D21" s="94" t="str">
        <f>IF(ISBLANK(TeamInfo!F22),"",TeamInfo!F22)</f>
        <v>&lt;SD2 Name&gt;</v>
      </c>
    </row>
    <row r="22" spans="1:6" ht="9" customHeight="1" x14ac:dyDescent="0.3">
      <c r="A22" s="69"/>
      <c r="B22" s="92"/>
      <c r="C22" s="94"/>
      <c r="D22" s="94"/>
    </row>
    <row r="23" spans="1:6" ht="16.8" x14ac:dyDescent="0.3">
      <c r="A23" s="69" t="s">
        <v>214</v>
      </c>
      <c r="B23" s="92" t="str">
        <f>+TeamInfo!F31</f>
        <v>&lt;BR Name&gt;</v>
      </c>
      <c r="C23" s="70" t="s">
        <v>397</v>
      </c>
      <c r="D23" s="75"/>
      <c r="E23" s="73"/>
    </row>
    <row r="24" spans="1:6" ht="9" customHeight="1" x14ac:dyDescent="0.25">
      <c r="A24" s="14"/>
    </row>
    <row r="25" spans="1:6" ht="16.8" x14ac:dyDescent="0.3">
      <c r="A25" s="69" t="s">
        <v>32</v>
      </c>
      <c r="B25" s="92" t="str">
        <f>+TeamInfo!F34</f>
        <v>&lt;MD Name&gt;</v>
      </c>
      <c r="C25" s="92"/>
      <c r="D25" s="92" t="str">
        <f>IF(ISBLANK(TeamInfo!F35),"",TeamInfo!F35)</f>
        <v>&lt;MD2 Name&gt;</v>
      </c>
      <c r="E25" s="95"/>
      <c r="F25" s="95"/>
    </row>
    <row r="26" spans="1:6" ht="9" customHeight="1" x14ac:dyDescent="0.3">
      <c r="A26" s="73"/>
    </row>
    <row r="27" spans="1:6" ht="16.8" x14ac:dyDescent="0.3">
      <c r="A27" s="69" t="s">
        <v>33</v>
      </c>
      <c r="B27" s="69" t="s">
        <v>107</v>
      </c>
      <c r="C27" s="69"/>
      <c r="D27" s="69"/>
      <c r="E27" s="69"/>
    </row>
    <row r="28" spans="1:6" ht="16.8" x14ac:dyDescent="0.25">
      <c r="A28" s="285" t="s">
        <v>108</v>
      </c>
      <c r="B28" s="285"/>
      <c r="C28" s="285"/>
      <c r="D28" s="285"/>
      <c r="E28" s="285"/>
    </row>
    <row r="29" spans="1:6" ht="16.8" x14ac:dyDescent="0.25">
      <c r="A29" s="285" t="s">
        <v>274</v>
      </c>
      <c r="B29" s="285"/>
      <c r="C29" s="285"/>
      <c r="D29" s="285"/>
      <c r="E29" s="285"/>
    </row>
    <row r="30" spans="1:6" ht="16.8" x14ac:dyDescent="0.25">
      <c r="A30" s="285" t="s">
        <v>109</v>
      </c>
      <c r="B30" s="285"/>
      <c r="C30" s="285"/>
      <c r="D30" s="285"/>
      <c r="E30" s="285"/>
    </row>
    <row r="31" spans="1:6" ht="16.8" x14ac:dyDescent="0.25">
      <c r="A31" s="285" t="s">
        <v>110</v>
      </c>
      <c r="B31" s="285"/>
      <c r="C31" s="285"/>
      <c r="D31" s="285"/>
      <c r="E31" s="285"/>
    </row>
    <row r="32" spans="1:6" ht="16.8" x14ac:dyDescent="0.25">
      <c r="A32" s="285" t="s">
        <v>347</v>
      </c>
      <c r="B32" s="285"/>
      <c r="C32" s="285"/>
      <c r="D32" s="285"/>
      <c r="E32" s="285"/>
    </row>
    <row r="33" spans="1:5" ht="16.8" x14ac:dyDescent="0.3">
      <c r="A33" s="283" t="s">
        <v>275</v>
      </c>
      <c r="B33" s="283"/>
      <c r="C33" s="283"/>
      <c r="D33" s="283"/>
      <c r="E33" s="283"/>
    </row>
    <row r="34" spans="1:5" ht="9" customHeight="1" thickBot="1" x14ac:dyDescent="0.3">
      <c r="A34" s="16"/>
    </row>
    <row r="35" spans="1:5" s="75" customFormat="1" ht="25.2" customHeight="1" thickBot="1" x14ac:dyDescent="0.3">
      <c r="A35" s="204" t="str">
        <f>+Schedule!D11</f>
        <v>Fourth Day</v>
      </c>
      <c r="B35" s="205" t="str">
        <f>+Schedule!D12</f>
        <v>&lt;ALD1 Name&gt;</v>
      </c>
      <c r="C35" s="206" t="s">
        <v>20</v>
      </c>
      <c r="D35" s="207" t="str">
        <f>+Schedule!D13</f>
        <v>Priority</v>
      </c>
      <c r="E35" s="208" t="str">
        <f>+Schedule!D14</f>
        <v>&lt;ALD2 Name&gt;</v>
      </c>
    </row>
    <row r="36" spans="1:5" s="73" customFormat="1" ht="16.8" x14ac:dyDescent="0.3">
      <c r="A36" s="80" t="s">
        <v>21</v>
      </c>
      <c r="B36" s="96" t="str">
        <f>IF(ISBLANK(VLOOKUP("Thurs.#1-1",Previews!A9:E31,5,FALSE)),"",VLOOKUP("Thurs.#1-1",Previews!A9:E31,5,FALSE))</f>
        <v>&lt;ALD3 Name&gt;</v>
      </c>
      <c r="C36" s="81"/>
      <c r="D36" s="82" t="s">
        <v>21</v>
      </c>
      <c r="E36" s="98" t="str">
        <f>IF(ISBLANK(VLOOKUP("Thurs.#1-2",Previews!A9:E31,5,FALSE)),"",VLOOKUP("Thurs.#1-2",Previews!A9:E31,5,FALSE))</f>
        <v>&lt;LD Name&gt;</v>
      </c>
    </row>
    <row r="37" spans="1:5" s="73" customFormat="1" ht="16.8" x14ac:dyDescent="0.3">
      <c r="A37" s="82" t="s">
        <v>162</v>
      </c>
      <c r="B37" s="78" t="str">
        <f>IF(ISBLANK(VLOOKUP("Thurs.#1-1",Previews!A9:C31,3,FALSE)),"",VLOOKUP("Thurs.#1-1",Previews!A9:C31,3,FALSE))</f>
        <v>Pp. 37, 74</v>
      </c>
      <c r="C37" s="81"/>
      <c r="D37" s="82" t="s">
        <v>162</v>
      </c>
      <c r="E37" s="78" t="str">
        <f>IF(ISBLANK(VLOOKUP("Thurs.#1-2",Previews!A9:C31,3,FALSE)),"",VLOOKUP("Thurs.#1-2",Previews!A9:C31,3,FALSE))</f>
        <v>Pp. 24-25, 71</v>
      </c>
    </row>
    <row r="38" spans="1:5" s="73" customFormat="1" ht="16.8" x14ac:dyDescent="0.3">
      <c r="A38" s="82" t="s">
        <v>200</v>
      </c>
      <c r="B38" s="84" t="s">
        <v>22</v>
      </c>
      <c r="C38" s="85"/>
      <c r="D38" s="82" t="s">
        <v>200</v>
      </c>
      <c r="E38" s="84" t="s">
        <v>23</v>
      </c>
    </row>
    <row r="39" spans="1:5" s="73" customFormat="1" ht="16.8" x14ac:dyDescent="0.3">
      <c r="A39" s="99" t="str">
        <f>IF(ISBLANK(VLOOKUP("Thurs.#1-1",Previews!$A$9:$G$31,7,FALSE)),"",VLOOKUP("Thurs.#1-1",Previews!$A$9:$G$31,7,FALSE))</f>
        <v>&lt;ALD3 Name&gt;</v>
      </c>
      <c r="B39" s="100" t="str">
        <f>IF(ISBLANK(VLOOKUP("Thurs.#1-1",Previews!$A$9:$H$31,8,FALSE)),"",VLOOKUP("Thurs.#1-1",Previews!$A$9:$H$31,8,FALSE))</f>
        <v/>
      </c>
      <c r="C39" s="85"/>
      <c r="D39" s="99" t="str">
        <f>IF(ISBLANK(VLOOKUP("Thurs.#1-2",Previews!$A$9:$G$31,7,FALSE)),"",VLOOKUP("Thurs.#1-2",Previews!$A$9:$G$31,7,FALSE))</f>
        <v>&lt;LD Name&gt;</v>
      </c>
      <c r="E39" s="100" t="str">
        <f>IF(ISBLANK(VLOOKUP("Thurs.#1-2",Previews!$A$9:$H$31,8,FALSE)),"",VLOOKUP("Thurs.#1-2",Previews!$A$9:$H$31,8,FALSE))</f>
        <v/>
      </c>
    </row>
    <row r="40" spans="1:5" s="73" customFormat="1" ht="16.5" customHeight="1" x14ac:dyDescent="0.3">
      <c r="A40" s="99" t="str">
        <f>IF(ISBLANK(VLOOKUP("Thurs.#1-1",Previews!$A$9:$I$31,9,FALSE)),"",VLOOKUP("Thurs.#1-1",Previews!$A$9:$I$31,9,FALSE))</f>
        <v>&lt;TL1 Name&gt;</v>
      </c>
      <c r="B40" s="98" t="str">
        <f>IF(ISBLANK(VLOOKUP("Thurs.#1-1",Previews!$A$9:$J$31,10,FALSE)),"",VLOOKUP("Thurs.#1-1",Previews!$A$9:$J$31,10,FALSE))</f>
        <v>&lt;TL2 Name&gt;</v>
      </c>
      <c r="C40" s="85"/>
      <c r="D40" s="99" t="str">
        <f>IF(ISBLANK(VLOOKUP("Thurs.#1-2",Previews!$A$9:$I$31,9,FALSE)),"",VLOOKUP("Thurs.#1-2",Previews!$A$9:$I$31,9,FALSE))</f>
        <v>&lt;ATL1 Name&gt;</v>
      </c>
      <c r="E40" s="98" t="str">
        <f>IF(ISBLANK(VLOOKUP("Thurs.#1-2",Previews!$A$9:$J$31,10,FALSE)),"",VLOOKUP("Thurs.#1-2",Previews!$A$9:$J$31,10,FALSE))</f>
        <v>&lt;ATL2 Name&gt;</v>
      </c>
    </row>
    <row r="41" spans="1:5" s="73" customFormat="1" ht="16.5" customHeight="1" x14ac:dyDescent="0.3">
      <c r="A41" s="99" t="str">
        <f>IF(ISBLANK(VLOOKUP("Thurs.#1-1",Previews!$A$9:$K$31,11,FALSE)),"",VLOOKUP("Thurs.#1-1",Previews!$A$9:$K$31,11,FALSE))</f>
        <v>&lt;ATL3 Name&gt;</v>
      </c>
      <c r="B41" s="98" t="str">
        <f>IF(ISBLANK(VLOOKUP("Thurs.#1-1",Previews!$A$9:$L$31,12,FALSE)),"",VLOOKUP("Thurs.#1-1",Previews!$A$9:$L$31,12,FALSE))</f>
        <v>&lt;ATL4 Name&gt;</v>
      </c>
      <c r="C41" s="85"/>
      <c r="D41" s="99" t="str">
        <f>IF(ISBLANK(VLOOKUP("Thurs.#1-2",Previews!$A$9:$K$31,11,FALSE)),"",VLOOKUP("Thurs.#1-2",Previews!$A$9:$K$31,11,FALSE))</f>
        <v>&lt;TL3 Name&gt;</v>
      </c>
      <c r="E41" s="98" t="str">
        <f>IF(ISBLANK(VLOOKUP("Thurs.#1-2",Previews!$A$9:$L$31,12,FALSE)),"",VLOOKUP("Thurs.#1-2",Previews!$A$9:$L$31,12,FALSE))</f>
        <v>&lt;TL4 Name&gt;</v>
      </c>
    </row>
    <row r="42" spans="1:5" s="73" customFormat="1" ht="16.5" customHeight="1" x14ac:dyDescent="0.3">
      <c r="A42" s="99" t="str">
        <f>IF(ISBLANK(VLOOKUP("Thurs.#1-1",Previews!$A$9:$M$31,13,FALSE)),"",VLOOKUP("Thurs.#1-1",Previews!$A$9:$M$31,13,FALSE))</f>
        <v>&lt;ATL5 Name&gt;</v>
      </c>
      <c r="B42" s="98" t="str">
        <f>IF(ISBLANK(VLOOKUP("Thurs.#1-1",Previews!$A$9:$N$31,14,FALSE)),"",VLOOKUP("Thurs.#1-1",Previews!$A$9:$N$31,14,FALSE))</f>
        <v>&lt;TL6 Name&gt;</v>
      </c>
      <c r="C42" s="87"/>
      <c r="D42" s="99" t="str">
        <f>IF(ISBLANK(VLOOKUP("Thurs.#1-2",Previews!$A$9:$M$31,13,FALSE)),"",VLOOKUP("Thurs.#1-2",Previews!$A$9:$M$31,13,FALSE))</f>
        <v>&lt;TL5 Name&gt;</v>
      </c>
      <c r="E42" s="98" t="str">
        <f>IF(ISBLANK(VLOOKUP("Thurs.#1-2",Previews!$A$9:$N$31,14,FALSE)),"",VLOOKUP("Thurs.#1-2",Previews!$A$9:$N$31,14,FALSE))</f>
        <v>&lt;TL7 Name&gt;</v>
      </c>
    </row>
    <row r="43" spans="1:5" s="73" customFormat="1" ht="16.5" customHeight="1" x14ac:dyDescent="0.3">
      <c r="A43" s="99" t="str">
        <f>IF(ISBLANK(VLOOKUP("Thurs.#1-1",Previews!$A$9:$O$31,15,FALSE)),"",VLOOKUP("Thurs.#1-1",Previews!$A$9:$O$31,15,FALSE))</f>
        <v>&lt;BR Name&gt;</v>
      </c>
      <c r="B43" s="98" t="str">
        <f>IF(ISBLANK(VLOOKUP("Thurs.#1-1",Previews!$A$9:$P$31,16,FALSE)),"",VLOOKUP("Thurs.#1-1",Previews!$A$9:$P$31,16,FALSE))</f>
        <v>&lt;MD Name&gt;</v>
      </c>
      <c r="C43" s="87"/>
      <c r="D43" s="99" t="str">
        <f>IF(ISBLANK(VLOOKUP("Thurs.#1-2",Previews!$A$9:$O$31,15,FALSE)),"",VLOOKUP("Thurs.#1-2",Previews!$A$9:$O$31,15,FALSE))</f>
        <v>&lt;TD Name&gt;</v>
      </c>
      <c r="E43" s="98" t="str">
        <f>IF(ISBLANK(VLOOKUP("Thurs.#1-2",Previews!$A$9:$P$31,16,FALSE)),"",VLOOKUP("Thurs.#1-2",Previews!$A$9:$P$31,16,FALSE))</f>
        <v>&lt;SD Name&gt;</v>
      </c>
    </row>
    <row r="44" spans="1:5" s="73" customFormat="1" ht="16.5" customHeight="1" thickBot="1" x14ac:dyDescent="0.35">
      <c r="A44" s="101" t="str">
        <f>IF(ISBLANK(VLOOKUP("Thurs.#1-1",Previews!$A$9:$Q$31,17,FALSE)),"",VLOOKUP("Thurs.#1-1",Previews!$A$9:$Q$31,17,FALSE))</f>
        <v>&lt;SD2 Name&gt;</v>
      </c>
      <c r="B44" s="102" t="str">
        <f>IF(ISBLANK(VLOOKUP("Thurs.#1-1",Previews!$A$9:$R$31,18,FALSE)),"",VLOOKUP("Thurs.#1-1",Previews!$A$9:$R$31,18,FALSE))</f>
        <v>&lt;TD2 Name&gt;</v>
      </c>
      <c r="C44" s="87"/>
      <c r="D44" s="101" t="str">
        <f>IF(ISBLANK(VLOOKUP("Thurs.#1-2",Previews!$A$9:$Q$31,17,FALSE)),"",VLOOKUP("Thurs.#1-2",Previews!$A$9:$Q$31,17,FALSE))</f>
        <v>&lt;MD2 Name&gt;</v>
      </c>
      <c r="E44" s="102" t="str">
        <f>IF(ISBLANK(VLOOKUP("Thurs.#1-2",Previews!$A$9:$R$31,18,FALSE)),"",VLOOKUP("Thurs.#1-2",Previews!$A$9:$R$31,18,FALSE))</f>
        <v/>
      </c>
    </row>
    <row r="45" spans="1:5" ht="9" customHeight="1" x14ac:dyDescent="0.25">
      <c r="A45" s="63"/>
      <c r="B45" s="63"/>
      <c r="C45" s="62"/>
      <c r="D45" s="63"/>
      <c r="E45" s="63"/>
    </row>
    <row r="46" spans="1:5" ht="16.8" x14ac:dyDescent="0.3">
      <c r="A46" s="90" t="s">
        <v>34</v>
      </c>
      <c r="B46" s="92" t="str">
        <f>IF(ISBLANK(VLOOKUP("Thurs.#1-1",Previews!A9:F31,6,FALSE)),"",VLOOKUP("Thurs.#1-1",Previews!A9:F31,6,FALSE))</f>
        <v>&lt;BR Name&gt;</v>
      </c>
      <c r="C46" s="17"/>
    </row>
    <row r="47" spans="1:5" ht="16.8" x14ac:dyDescent="0.3">
      <c r="A47" s="69" t="s">
        <v>35</v>
      </c>
      <c r="B47" s="92" t="str">
        <f>IF(ISBLANK(VLOOKUP("Thurs.#1-1",Previews!A9:G31,7,FALSE)),"",VLOOKUP("Thurs.#1-1",Previews!A9:G31,7,FALSE))</f>
        <v>&lt;ALD3 Name&gt;</v>
      </c>
      <c r="C47" s="17"/>
      <c r="D47" s="92" t="str">
        <f>IF(ISBLANK(VLOOKUP("Thurs.#1-2",Previews!A9:G31,7,FALSE)),"",VLOOKUP("Thurs.#1-2",Previews!A9:G31,7,FALSE))</f>
        <v>&lt;LD Name&gt;</v>
      </c>
    </row>
    <row r="48" spans="1:5" s="202" customFormat="1" ht="9" customHeight="1" x14ac:dyDescent="0.3">
      <c r="A48" s="203"/>
      <c r="B48" s="92"/>
      <c r="C48" s="92"/>
    </row>
    <row r="49" spans="1:6" ht="16.8" x14ac:dyDescent="0.3">
      <c r="A49" s="69" t="s">
        <v>24</v>
      </c>
      <c r="B49" s="95"/>
    </row>
    <row r="50" spans="1:6" ht="16.8" x14ac:dyDescent="0.3">
      <c r="A50" s="69" t="s">
        <v>36</v>
      </c>
      <c r="B50" s="92" t="str">
        <f>+TeamInfo!F28</f>
        <v>&lt;ALD1 Name&gt;</v>
      </c>
      <c r="C50" s="69" t="s">
        <v>463</v>
      </c>
      <c r="D50" s="69"/>
      <c r="E50" s="69"/>
      <c r="F50" s="69"/>
    </row>
    <row r="51" spans="1:6" s="202" customFormat="1" ht="6" customHeight="1" x14ac:dyDescent="0.3">
      <c r="A51" s="73"/>
      <c r="B51" s="95"/>
      <c r="C51" s="203"/>
      <c r="D51" s="203"/>
      <c r="E51" s="203"/>
      <c r="F51" s="203"/>
    </row>
    <row r="52" spans="1:6" ht="16.8" x14ac:dyDescent="0.3">
      <c r="A52" s="69" t="s">
        <v>281</v>
      </c>
      <c r="B52" s="92" t="str">
        <f>+TeamInfo!F28</f>
        <v>&lt;ALD1 Name&gt;</v>
      </c>
      <c r="C52" s="69" t="s">
        <v>436</v>
      </c>
      <c r="D52" s="69"/>
      <c r="E52" s="69"/>
    </row>
    <row r="53" spans="1:6" ht="6" customHeight="1" x14ac:dyDescent="0.3">
      <c r="A53" s="73"/>
      <c r="B53" s="95"/>
      <c r="C53" s="69"/>
      <c r="D53" s="69"/>
      <c r="E53" s="69"/>
      <c r="F53" s="69"/>
    </row>
    <row r="54" spans="1:6" ht="16.8" x14ac:dyDescent="0.3">
      <c r="A54" s="69" t="s">
        <v>37</v>
      </c>
      <c r="B54" s="92" t="str">
        <f>+TeamInfo!F29</f>
        <v>&lt;ALD2 Name&gt;</v>
      </c>
      <c r="C54" s="69"/>
      <c r="D54" s="69"/>
      <c r="E54" s="69"/>
      <c r="F54" s="69"/>
    </row>
    <row r="55" spans="1:6" ht="6" customHeight="1" x14ac:dyDescent="0.3">
      <c r="A55" s="73"/>
      <c r="B55" s="95"/>
      <c r="C55" s="69"/>
      <c r="D55" s="69"/>
      <c r="E55" s="69"/>
      <c r="F55" s="69"/>
    </row>
    <row r="56" spans="1:6" ht="16.8" x14ac:dyDescent="0.3">
      <c r="A56" s="69" t="s">
        <v>331</v>
      </c>
      <c r="B56" s="92" t="str">
        <f>+TeamInfo!$F$30</f>
        <v>&lt;ALD3 Name&gt;</v>
      </c>
      <c r="C56" s="135" t="s">
        <v>439</v>
      </c>
      <c r="D56" s="135"/>
      <c r="E56" s="135"/>
      <c r="F56" s="69"/>
    </row>
    <row r="57" spans="1:6" ht="16.8" x14ac:dyDescent="0.3">
      <c r="A57" s="69" t="s">
        <v>329</v>
      </c>
      <c r="B57" s="92"/>
      <c r="C57" s="109" t="s">
        <v>367</v>
      </c>
      <c r="D57" s="69"/>
      <c r="E57" s="69"/>
      <c r="F57" s="69"/>
    </row>
    <row r="58" spans="1:6" ht="16.8" x14ac:dyDescent="0.3">
      <c r="A58" s="69"/>
      <c r="B58" s="92"/>
      <c r="C58" s="69" t="s">
        <v>330</v>
      </c>
      <c r="D58" s="69"/>
      <c r="E58" s="69"/>
      <c r="F58" s="69"/>
    </row>
    <row r="59" spans="1:6" ht="6" customHeight="1" x14ac:dyDescent="0.3">
      <c r="A59" s="73"/>
      <c r="B59" s="95"/>
      <c r="C59" s="69"/>
      <c r="D59" s="69"/>
      <c r="E59" s="69"/>
      <c r="F59" s="69"/>
    </row>
    <row r="60" spans="1:6" ht="16.8" x14ac:dyDescent="0.3">
      <c r="A60" s="69" t="s">
        <v>126</v>
      </c>
      <c r="B60" s="92" t="str">
        <f>+TeamInfo!$F$32</f>
        <v>&lt;TD Name&gt;</v>
      </c>
      <c r="C60" s="69"/>
      <c r="D60" s="92" t="str">
        <f>IF(ISBLANK(TeamInfo!$F$33),"",TeamInfo!$F$33)</f>
        <v>&lt;TD2 Name&gt;</v>
      </c>
      <c r="E60" s="69"/>
      <c r="F60" s="69"/>
    </row>
    <row r="61" spans="1:6" s="95" customFormat="1" ht="16.8" x14ac:dyDescent="0.3">
      <c r="A61" s="69" t="str">
        <f>"     Email talk to "&amp;TeamInfo!$D$9&amp;"td@new-arkemmaus.org with copy to "&amp;TeamInfo!$D$9&amp;"ld@new-arkemmaus.org"</f>
        <v xml:space="preserve">     Email talk to mwtd@new-arkemmaus.org with copy to mwld@new-arkemmaus.org</v>
      </c>
      <c r="B61" s="69"/>
      <c r="C61" s="69"/>
      <c r="D61" s="69"/>
      <c r="E61" s="69"/>
    </row>
    <row r="62" spans="1:6" ht="9" customHeight="1" x14ac:dyDescent="0.3">
      <c r="A62" s="73"/>
      <c r="B62" s="95"/>
      <c r="C62" s="69"/>
      <c r="D62" s="69"/>
      <c r="E62" s="69"/>
      <c r="F62" s="69"/>
    </row>
    <row r="63" spans="1:6" ht="16.8" x14ac:dyDescent="0.3">
      <c r="A63" s="69" t="s">
        <v>38</v>
      </c>
      <c r="B63" s="95"/>
      <c r="C63" s="69"/>
      <c r="D63" s="69"/>
      <c r="E63" s="69"/>
      <c r="F63" s="69"/>
    </row>
    <row r="64" spans="1:6" ht="9" customHeight="1" x14ac:dyDescent="0.3">
      <c r="A64" s="69"/>
      <c r="B64" s="95"/>
      <c r="C64" s="69"/>
      <c r="D64" s="69"/>
      <c r="E64" s="69"/>
      <c r="F64" s="69"/>
    </row>
    <row r="65" spans="1:6" ht="16.8" x14ac:dyDescent="0.3">
      <c r="A65" s="69" t="s">
        <v>39</v>
      </c>
      <c r="B65" s="92" t="str">
        <f>+TeamInfo!F27</f>
        <v>&lt;LD Name&gt;</v>
      </c>
      <c r="C65" s="69"/>
      <c r="D65" s="69"/>
      <c r="E65" s="69"/>
      <c r="F65" s="69"/>
    </row>
    <row r="66" spans="1:6" s="202" customFormat="1" ht="16.8" x14ac:dyDescent="0.3">
      <c r="A66" s="105" t="s">
        <v>437</v>
      </c>
      <c r="B66" s="92"/>
      <c r="C66" s="203"/>
      <c r="D66" s="203"/>
      <c r="E66" s="203"/>
      <c r="F66" s="203"/>
    </row>
    <row r="67" spans="1:6" ht="16.8" x14ac:dyDescent="0.3">
      <c r="A67" s="105" t="s">
        <v>40</v>
      </c>
      <c r="B67" s="15"/>
    </row>
    <row r="68" spans="1:6" ht="16.8" x14ac:dyDescent="0.3">
      <c r="A68" s="105" t="str">
        <f>"  (Let "&amp;+TeamInfo!F28&amp;" know if you would like to purchase personal copy of Sustaining the Spirit)"</f>
        <v xml:space="preserve">  (Let &lt;ALD1 Name&gt; know if you would like to purchase personal copy of Sustaining the Spirit)</v>
      </c>
      <c r="B68" s="20"/>
    </row>
    <row r="69" spans="1:6" ht="16.8" x14ac:dyDescent="0.3">
      <c r="A69" s="105" t="s">
        <v>280</v>
      </c>
      <c r="B69" s="15"/>
    </row>
    <row r="70" spans="1:6" ht="16.8" x14ac:dyDescent="0.3">
      <c r="A70" s="105" t="s">
        <v>41</v>
      </c>
      <c r="B70" s="15"/>
    </row>
    <row r="71" spans="1:6" ht="16.8" x14ac:dyDescent="0.3">
      <c r="A71" s="105" t="s">
        <v>327</v>
      </c>
      <c r="B71" s="15"/>
    </row>
    <row r="72" spans="1:6" ht="16.8" x14ac:dyDescent="0.3">
      <c r="A72" s="105" t="s">
        <v>366</v>
      </c>
      <c r="B72" s="15"/>
    </row>
    <row r="73" spans="1:6" ht="16.8" x14ac:dyDescent="0.3">
      <c r="A73" s="105" t="s">
        <v>328</v>
      </c>
      <c r="B73" s="15"/>
    </row>
    <row r="74" spans="1:6" ht="16.8" x14ac:dyDescent="0.3">
      <c r="A74" s="105" t="s">
        <v>130</v>
      </c>
      <c r="B74" s="15"/>
    </row>
    <row r="75" spans="1:6" ht="16.8" x14ac:dyDescent="0.3">
      <c r="A75" s="105" t="str">
        <f>"Speakers - Final talk copies to "&amp;TeamInfo!E28&amp;" and Tech Directors within 2 weeks after preview"</f>
        <v>Speakers - Final talk copies to Arrears - ALD and Tech Directors within 2 weeks after preview</v>
      </c>
      <c r="B75" s="15"/>
    </row>
    <row r="76" spans="1:6" ht="9" customHeight="1" x14ac:dyDescent="0.3">
      <c r="A76" s="91"/>
      <c r="B76" s="15"/>
    </row>
    <row r="77" spans="1:6" ht="16.8" x14ac:dyDescent="0.3">
      <c r="A77" s="69" t="s">
        <v>44</v>
      </c>
      <c r="B77" s="15"/>
    </row>
    <row r="78" spans="1:6" ht="16.8" x14ac:dyDescent="0.3">
      <c r="A78" s="105" t="s">
        <v>3</v>
      </c>
      <c r="B78" s="92" t="str">
        <f>+Schedule!C15</f>
        <v>&lt;ATL1 Name&gt;</v>
      </c>
      <c r="C78" s="92"/>
      <c r="D78" s="92"/>
      <c r="E78" s="92"/>
    </row>
    <row r="79" spans="1:6" ht="16.8" x14ac:dyDescent="0.3">
      <c r="A79" s="105" t="s">
        <v>45</v>
      </c>
      <c r="B79" s="92" t="str">
        <f>+Schedule!D16</f>
        <v>&lt;TL1 Name&gt;</v>
      </c>
      <c r="C79" s="92"/>
      <c r="D79" s="92" t="str">
        <f>+Schedule!D18</f>
        <v>&lt;TL2 Name&gt;</v>
      </c>
      <c r="E79" s="92"/>
    </row>
    <row r="80" spans="1:6" ht="16.8" x14ac:dyDescent="0.3">
      <c r="A80" s="105" t="s">
        <v>46</v>
      </c>
      <c r="B80" s="103" t="str">
        <f>CONCATENATE("     "&amp;+Schedule!E15&amp;",  "&amp;+Schedule!E16&amp;",  "&amp;+Schedule!E17,IF(ISBLANK(Schedule!E18),"",",  "&amp;Schedule!E18))</f>
        <v xml:space="preserve">     &lt;ALD1 Name&gt;,  &lt;ALD2 Name&gt;,  &lt;BR Name&gt;,  &lt;MD2 Name&gt;</v>
      </c>
      <c r="C80" s="95"/>
      <c r="D80" s="92"/>
      <c r="E80" s="92"/>
      <c r="F80" s="17"/>
    </row>
    <row r="81" spans="1:5" ht="9" customHeight="1" x14ac:dyDescent="0.3">
      <c r="A81" s="91"/>
      <c r="B81" s="15"/>
    </row>
    <row r="82" spans="1:5" ht="16.8" x14ac:dyDescent="0.3">
      <c r="A82" s="69" t="s">
        <v>47</v>
      </c>
      <c r="B82" s="95"/>
      <c r="C82" s="95"/>
      <c r="D82" s="95"/>
      <c r="E82" s="95"/>
    </row>
    <row r="83" spans="1:5" ht="16.8" x14ac:dyDescent="0.3">
      <c r="A83" s="69" t="s">
        <v>48</v>
      </c>
      <c r="B83" s="92" t="str">
        <f>+TeamInfo!F27</f>
        <v>&lt;LD Name&gt;</v>
      </c>
      <c r="C83" s="95"/>
      <c r="D83" s="95"/>
      <c r="E83" s="95"/>
    </row>
    <row r="84" spans="1:5" s="211" customFormat="1" ht="16.8" x14ac:dyDescent="0.3">
      <c r="A84" s="214"/>
      <c r="B84" s="92"/>
      <c r="C84" s="95"/>
      <c r="D84" s="95"/>
      <c r="E84" s="95"/>
    </row>
    <row r="85" spans="1:5" s="211" customFormat="1" ht="16.8" x14ac:dyDescent="0.3">
      <c r="A85" s="105" t="s">
        <v>444</v>
      </c>
      <c r="B85" s="222"/>
      <c r="C85" s="95"/>
      <c r="D85" s="95"/>
      <c r="E85" s="95"/>
    </row>
    <row r="86" spans="1:5" s="211" customFormat="1" ht="16.8" x14ac:dyDescent="0.3">
      <c r="A86" s="214"/>
      <c r="B86" s="92"/>
      <c r="C86" s="95"/>
      <c r="D86" s="95"/>
      <c r="E86" s="95"/>
    </row>
    <row r="87" spans="1:5" s="211" customFormat="1" ht="16.8" x14ac:dyDescent="0.3">
      <c r="A87" s="214"/>
      <c r="B87" s="92"/>
      <c r="C87" s="95"/>
      <c r="D87" s="95"/>
      <c r="E87" s="95"/>
    </row>
    <row r="88" spans="1:5" ht="16.8" x14ac:dyDescent="0.3">
      <c r="A88" s="73"/>
    </row>
  </sheetData>
  <mergeCells count="8">
    <mergeCell ref="A32:E32"/>
    <mergeCell ref="A33:E33"/>
    <mergeCell ref="A1:E1"/>
    <mergeCell ref="A28:E28"/>
    <mergeCell ref="A29:E29"/>
    <mergeCell ref="A30:E30"/>
    <mergeCell ref="A31:E31"/>
    <mergeCell ref="D2:E2"/>
  </mergeCells>
  <phoneticPr fontId="6" type="noConversion"/>
  <printOptions horizontalCentered="1"/>
  <pageMargins left="0.5" right="0.35" top="0.35" bottom="0.35" header="0.25" footer="0.26"/>
  <pageSetup orientation="portrait" r:id="rId1"/>
  <headerFooter alignWithMargins="0"/>
  <rowBreaks count="1" manualBreakCount="1">
    <brk id="47"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665214-5FCD-4BD1-AC97-2189366B6705}">
  <sheetPr>
    <pageSetUpPr fitToPage="1"/>
  </sheetPr>
  <dimension ref="A1:F17"/>
  <sheetViews>
    <sheetView workbookViewId="0">
      <selection sqref="A1:E1"/>
    </sheetView>
  </sheetViews>
  <sheetFormatPr defaultRowHeight="13.2" x14ac:dyDescent="0.25"/>
  <cols>
    <col min="1" max="2" width="23.5546875" style="168" customWidth="1"/>
    <col min="3" max="3" width="2.33203125" style="168" customWidth="1"/>
    <col min="4" max="5" width="23.5546875" style="168" customWidth="1"/>
    <col min="6" max="16384" width="8.88671875" style="168"/>
  </cols>
  <sheetData>
    <row r="1" spans="1:6" s="104" customFormat="1" ht="18" x14ac:dyDescent="0.35">
      <c r="A1" s="257" t="str">
        <f>+"New-Ark Area Emmaus "&amp;TeamInfo!D5&amp;" "&amp;TeamInfo!D6</f>
        <v xml:space="preserve">New-Ark Area Emmaus Wo/Men's Walk #NN </v>
      </c>
      <c r="B1" s="257"/>
      <c r="C1" s="257"/>
      <c r="D1" s="257"/>
      <c r="E1" s="257"/>
    </row>
    <row r="2" spans="1:6" ht="17.399999999999999" x14ac:dyDescent="0.3">
      <c r="A2" s="170" t="s">
        <v>292</v>
      </c>
      <c r="B2" s="169"/>
      <c r="C2" s="169"/>
      <c r="D2" s="282">
        <f>+Schedule!B15</f>
        <v>36564</v>
      </c>
      <c r="E2" s="282"/>
    </row>
    <row r="3" spans="1:6" ht="6" customHeight="1" x14ac:dyDescent="0.25">
      <c r="A3" s="14"/>
    </row>
    <row r="4" spans="1:6" ht="16.8" x14ac:dyDescent="0.3">
      <c r="A4" s="172" t="s">
        <v>364</v>
      </c>
      <c r="B4" s="284" t="s">
        <v>394</v>
      </c>
      <c r="C4" s="284"/>
      <c r="D4" s="284"/>
      <c r="E4" s="284"/>
    </row>
    <row r="5" spans="1:6" ht="16.8" x14ac:dyDescent="0.3">
      <c r="A5" s="182" t="s">
        <v>3</v>
      </c>
      <c r="B5" s="92" t="str">
        <f>+Schedule!C15</f>
        <v>&lt;ATL1 Name&gt;</v>
      </c>
    </row>
    <row r="6" spans="1:6" ht="16.8" x14ac:dyDescent="0.3">
      <c r="A6" s="182" t="s">
        <v>279</v>
      </c>
      <c r="B6" s="103" t="str">
        <f>CONCATENATE("     "&amp;+Schedule!E15&amp;",  "&amp;+Schedule!E16&amp;",  "&amp;+Schedule!E17,IF(ISBLANK(Schedule!E18),"",",  "&amp;Schedule!E18))</f>
        <v xml:space="preserve">     &lt;ALD1 Name&gt;,  &lt;ALD2 Name&gt;,  &lt;BR Name&gt;,  &lt;MD2 Name&gt;</v>
      </c>
      <c r="C6" s="92"/>
      <c r="D6" s="92"/>
      <c r="E6" s="92"/>
      <c r="F6" s="95"/>
    </row>
    <row r="7" spans="1:6" ht="16.8" x14ac:dyDescent="0.3">
      <c r="A7" s="182" t="s">
        <v>31</v>
      </c>
      <c r="B7" s="92" t="str">
        <f>+TeamInfo!F21</f>
        <v>&lt;SD Name&gt;</v>
      </c>
      <c r="C7" s="94"/>
      <c r="D7" s="94" t="str">
        <f>IF(ISBLANK(TeamInfo!F22),"",TeamInfo!F22)</f>
        <v>&lt;SD2 Name&gt;</v>
      </c>
    </row>
    <row r="8" spans="1:6" ht="16.2" customHeight="1" x14ac:dyDescent="0.3">
      <c r="A8" s="182" t="s">
        <v>33</v>
      </c>
      <c r="B8" s="172"/>
      <c r="C8" s="172"/>
      <c r="D8" s="172"/>
      <c r="E8" s="172"/>
    </row>
    <row r="9" spans="1:6" s="73" customFormat="1" ht="36" customHeight="1" x14ac:dyDescent="0.3">
      <c r="A9" s="186" t="str">
        <f>+Schedule!D15</f>
        <v>Priesthood of All Believers</v>
      </c>
      <c r="B9" s="187" t="str">
        <f>+Schedule!D16</f>
        <v>&lt;TL1 Name&gt;</v>
      </c>
      <c r="C9" s="188" t="s">
        <v>20</v>
      </c>
      <c r="D9" s="186" t="str">
        <f>+Schedule!D17</f>
        <v>Life of Piety</v>
      </c>
      <c r="E9" s="187" t="str">
        <f>+Schedule!D18</f>
        <v>&lt;TL2 Name&gt;</v>
      </c>
    </row>
    <row r="10" spans="1:6" ht="16.8" x14ac:dyDescent="0.3">
      <c r="A10" s="182" t="s">
        <v>48</v>
      </c>
      <c r="B10" s="92" t="str">
        <f>+TeamInfo!F28</f>
        <v>&lt;ALD1 Name&gt;</v>
      </c>
      <c r="C10" s="95"/>
      <c r="D10" s="95"/>
      <c r="E10" s="95"/>
    </row>
    <row r="11" spans="1:6" ht="16.8" x14ac:dyDescent="0.3">
      <c r="A11" s="172"/>
      <c r="B11" s="92"/>
      <c r="C11" s="171"/>
      <c r="D11" s="75"/>
      <c r="E11" s="73"/>
    </row>
    <row r="12" spans="1:6" ht="16.8" x14ac:dyDescent="0.3">
      <c r="A12" s="172" t="s">
        <v>365</v>
      </c>
      <c r="B12" s="283" t="s">
        <v>369</v>
      </c>
      <c r="C12" s="283"/>
      <c r="D12" s="283"/>
      <c r="E12" s="283"/>
      <c r="F12" s="172"/>
    </row>
    <row r="13" spans="1:6" ht="16.8" x14ac:dyDescent="0.3">
      <c r="A13" s="172"/>
      <c r="B13" s="283" t="s">
        <v>370</v>
      </c>
      <c r="C13" s="283"/>
      <c r="D13" s="283"/>
      <c r="E13" s="283"/>
      <c r="F13" s="172"/>
    </row>
    <row r="14" spans="1:6" ht="16.8" customHeight="1" x14ac:dyDescent="0.3">
      <c r="A14" s="14"/>
      <c r="B14" s="283" t="s">
        <v>373</v>
      </c>
      <c r="C14" s="283"/>
      <c r="D14" s="283"/>
      <c r="E14" s="283"/>
    </row>
    <row r="15" spans="1:6" ht="16.8" x14ac:dyDescent="0.3">
      <c r="A15" s="73"/>
      <c r="B15" s="283" t="s">
        <v>443</v>
      </c>
      <c r="C15" s="283"/>
      <c r="D15" s="283"/>
      <c r="E15" s="283"/>
    </row>
    <row r="16" spans="1:6" ht="16.8" x14ac:dyDescent="0.3">
      <c r="A16" s="73"/>
      <c r="B16" s="283" t="s">
        <v>375</v>
      </c>
      <c r="C16" s="283"/>
      <c r="D16" s="283"/>
      <c r="E16" s="283"/>
    </row>
    <row r="17" spans="2:5" ht="16.8" x14ac:dyDescent="0.3">
      <c r="B17" s="283"/>
      <c r="C17" s="283"/>
      <c r="D17" s="283"/>
      <c r="E17" s="283"/>
    </row>
  </sheetData>
  <mergeCells count="9">
    <mergeCell ref="B15:E15"/>
    <mergeCell ref="B17:E17"/>
    <mergeCell ref="B16:E16"/>
    <mergeCell ref="A1:E1"/>
    <mergeCell ref="D2:E2"/>
    <mergeCell ref="B4:E4"/>
    <mergeCell ref="B12:E12"/>
    <mergeCell ref="B13:E13"/>
    <mergeCell ref="B14:E14"/>
  </mergeCells>
  <pageMargins left="0.7" right="0.7" top="0.75" bottom="0.75" header="0.3" footer="0.3"/>
  <pageSetup scale="95"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74"/>
  <sheetViews>
    <sheetView workbookViewId="0">
      <selection sqref="A1:E1"/>
    </sheetView>
  </sheetViews>
  <sheetFormatPr defaultRowHeight="13.2" x14ac:dyDescent="0.25"/>
  <cols>
    <col min="1" max="2" width="23.5546875" customWidth="1"/>
    <col min="3" max="3" width="2.33203125" customWidth="1"/>
    <col min="4" max="4" width="23.5546875" customWidth="1"/>
    <col min="5" max="5" width="24.44140625" customWidth="1"/>
  </cols>
  <sheetData>
    <row r="1" spans="1:5" ht="17.399999999999999" x14ac:dyDescent="0.3">
      <c r="A1" s="257" t="str">
        <f>+"New-Ark Area Emmaus "&amp;TeamInfo!D5&amp;" "&amp;TeamInfo!D6</f>
        <v xml:space="preserve">New-Ark Area Emmaus Wo/Men's Walk #NN </v>
      </c>
      <c r="B1" s="257"/>
      <c r="C1" s="257"/>
      <c r="D1" s="257"/>
      <c r="E1" s="257"/>
    </row>
    <row r="2" spans="1:5" ht="17.399999999999999" x14ac:dyDescent="0.3">
      <c r="A2" s="68" t="s">
        <v>292</v>
      </c>
      <c r="B2" s="21"/>
      <c r="C2" s="21"/>
      <c r="D2" s="282">
        <f>+Schedule!B15</f>
        <v>36564</v>
      </c>
      <c r="E2" s="282"/>
    </row>
    <row r="3" spans="1:5" ht="6" customHeight="1" x14ac:dyDescent="0.25">
      <c r="A3" s="14"/>
    </row>
    <row r="4" spans="1:5" ht="16.8" x14ac:dyDescent="0.3">
      <c r="A4" s="69" t="s">
        <v>27</v>
      </c>
      <c r="B4" s="74" t="s">
        <v>26</v>
      </c>
    </row>
    <row r="5" spans="1:5" ht="16.8" x14ac:dyDescent="0.3">
      <c r="A5" s="69" t="s">
        <v>3</v>
      </c>
      <c r="B5" s="92" t="str">
        <f>+Schedule!C15</f>
        <v>&lt;ATL1 Name&gt;</v>
      </c>
    </row>
    <row r="6" spans="1:5" ht="16.8" x14ac:dyDescent="0.3">
      <c r="A6" s="69" t="s">
        <v>279</v>
      </c>
      <c r="B6" s="103" t="str">
        <f>CONCATENATE("     "&amp;+Schedule!E15&amp;",  "&amp;+Schedule!E16&amp;",  "&amp;+Schedule!E17,IF(ISBLANK(Schedule!E18),"",",  "&amp;Schedule!E18))</f>
        <v xml:space="preserve">     &lt;ALD1 Name&gt;,  &lt;ALD2 Name&gt;,  &lt;BR Name&gt;,  &lt;MD2 Name&gt;</v>
      </c>
      <c r="C6" s="92"/>
      <c r="D6" s="92"/>
      <c r="E6" s="17"/>
    </row>
    <row r="7" spans="1:5" ht="16.8" x14ac:dyDescent="0.3">
      <c r="A7" s="69" t="s">
        <v>25</v>
      </c>
    </row>
    <row r="8" spans="1:5" ht="16.8" x14ac:dyDescent="0.3">
      <c r="A8" s="69" t="s">
        <v>28</v>
      </c>
      <c r="B8" s="93"/>
    </row>
    <row r="9" spans="1:5" ht="16.8" x14ac:dyDescent="0.3">
      <c r="A9" s="69" t="s">
        <v>29</v>
      </c>
      <c r="B9" s="92" t="str">
        <f>+TeamInfo!F27</f>
        <v>&lt;LD Name&gt;</v>
      </c>
      <c r="C9" s="69" t="s">
        <v>325</v>
      </c>
      <c r="D9" s="69"/>
      <c r="E9" s="69"/>
    </row>
    <row r="10" spans="1:5" ht="16.8" x14ac:dyDescent="0.3">
      <c r="A10" s="69"/>
      <c r="B10" s="92"/>
      <c r="C10" s="69"/>
      <c r="D10" s="69" t="s">
        <v>326</v>
      </c>
      <c r="E10" s="69"/>
    </row>
    <row r="11" spans="1:5" ht="16.8" x14ac:dyDescent="0.3">
      <c r="A11" s="69" t="s">
        <v>24</v>
      </c>
      <c r="B11" s="95"/>
      <c r="C11" s="69"/>
      <c r="D11" s="69"/>
      <c r="E11" s="69"/>
    </row>
    <row r="12" spans="1:5" ht="16.8" x14ac:dyDescent="0.3">
      <c r="A12" s="108" t="s">
        <v>283</v>
      </c>
      <c r="B12" s="92" t="str">
        <f>+TeamInfo!F27</f>
        <v>&lt;LD Name&gt;</v>
      </c>
      <c r="C12" s="69" t="s">
        <v>371</v>
      </c>
      <c r="D12" s="69"/>
      <c r="E12" s="69"/>
    </row>
    <row r="13" spans="1:5" ht="6" customHeight="1" x14ac:dyDescent="0.3">
      <c r="A13" s="69"/>
      <c r="B13" s="92"/>
      <c r="C13" s="69"/>
      <c r="D13" s="69"/>
      <c r="E13" s="69"/>
    </row>
    <row r="14" spans="1:5" ht="16.8" x14ac:dyDescent="0.3">
      <c r="A14" s="69" t="s">
        <v>36</v>
      </c>
      <c r="B14" s="92" t="str">
        <f>+TeamInfo!F28</f>
        <v>&lt;ALD1 Name&gt;</v>
      </c>
      <c r="C14" s="69" t="s">
        <v>282</v>
      </c>
      <c r="D14" s="69"/>
      <c r="E14" s="69"/>
    </row>
    <row r="15" spans="1:5" ht="16.8" x14ac:dyDescent="0.3">
      <c r="A15" s="69" t="s">
        <v>281</v>
      </c>
      <c r="B15" s="92" t="str">
        <f>+TeamInfo!F28</f>
        <v>&lt;ALD1 Name&gt;</v>
      </c>
      <c r="C15" s="69" t="s">
        <v>436</v>
      </c>
      <c r="D15" s="69"/>
      <c r="E15" s="69"/>
    </row>
    <row r="16" spans="1:5" ht="16.8" x14ac:dyDescent="0.3">
      <c r="A16" s="69" t="s">
        <v>37</v>
      </c>
      <c r="B16" s="92" t="str">
        <f>+TeamInfo!F29</f>
        <v>&lt;ALD2 Name&gt;</v>
      </c>
      <c r="C16" s="69"/>
      <c r="D16" s="69"/>
      <c r="E16" s="69"/>
    </row>
    <row r="17" spans="1:6" ht="6" customHeight="1" x14ac:dyDescent="0.3">
      <c r="A17" s="69"/>
      <c r="B17" s="92"/>
      <c r="C17" s="69"/>
      <c r="D17" s="69"/>
      <c r="E17" s="69"/>
    </row>
    <row r="18" spans="1:6" ht="16.8" x14ac:dyDescent="0.3">
      <c r="A18" s="69" t="s">
        <v>331</v>
      </c>
      <c r="B18" s="92" t="str">
        <f>+TeamInfo!$F$30</f>
        <v>&lt;ALD3 Name&gt;</v>
      </c>
      <c r="C18" s="203" t="s">
        <v>438</v>
      </c>
      <c r="D18" s="135"/>
      <c r="E18" s="135"/>
      <c r="F18" s="69"/>
    </row>
    <row r="19" spans="1:6" ht="16.8" x14ac:dyDescent="0.3">
      <c r="A19" s="69" t="s">
        <v>329</v>
      </c>
      <c r="B19" s="92"/>
      <c r="C19" s="109" t="s">
        <v>367</v>
      </c>
      <c r="D19" s="69"/>
      <c r="E19" s="69"/>
      <c r="F19" s="69"/>
    </row>
    <row r="20" spans="1:6" ht="16.8" x14ac:dyDescent="0.3">
      <c r="A20" s="69"/>
      <c r="B20" s="92"/>
      <c r="C20" s="69" t="s">
        <v>330</v>
      </c>
      <c r="D20" s="69"/>
      <c r="E20" s="69"/>
      <c r="F20" s="69"/>
    </row>
    <row r="21" spans="1:6" ht="6" customHeight="1" x14ac:dyDescent="0.3">
      <c r="A21" s="73"/>
      <c r="B21" s="95"/>
      <c r="C21" s="69"/>
      <c r="D21" s="69"/>
      <c r="E21" s="69"/>
      <c r="F21" s="69"/>
    </row>
    <row r="22" spans="1:6" ht="16.8" x14ac:dyDescent="0.3">
      <c r="A22" s="69" t="s">
        <v>126</v>
      </c>
      <c r="B22" s="92" t="str">
        <f>+TeamInfo!$F$32</f>
        <v>&lt;TD Name&gt;</v>
      </c>
      <c r="C22" s="69"/>
      <c r="D22" s="92" t="str">
        <f>IF(ISBLANK(TeamInfo!$F$33),"",TeamInfo!$F$33)</f>
        <v>&lt;TD2 Name&gt;</v>
      </c>
      <c r="E22" s="69"/>
      <c r="F22" s="69"/>
    </row>
    <row r="23" spans="1:6" s="95" customFormat="1" ht="16.8" x14ac:dyDescent="0.3">
      <c r="A23" s="69" t="str">
        <f>"     Email talk to "&amp;TeamInfo!$D$9&amp;"td@new-arkemmaus.org with copy to "&amp;TeamInfo!$D$9&amp;"ld@new-arkemmaus.org"</f>
        <v xml:space="preserve">     Email talk to mwtd@new-arkemmaus.org with copy to mwld@new-arkemmaus.org</v>
      </c>
      <c r="B23" s="69"/>
      <c r="C23" s="69"/>
      <c r="D23" s="69"/>
      <c r="E23" s="69"/>
    </row>
    <row r="24" spans="1:6" ht="9" customHeight="1" x14ac:dyDescent="0.3">
      <c r="A24" s="15"/>
    </row>
    <row r="25" spans="1:6" ht="16.8" x14ac:dyDescent="0.3">
      <c r="A25" s="69" t="s">
        <v>31</v>
      </c>
      <c r="B25" s="92" t="str">
        <f>+TeamInfo!F21</f>
        <v>&lt;SD Name&gt;</v>
      </c>
      <c r="C25" s="94"/>
      <c r="D25" s="94" t="str">
        <f>IF(ISBLANK(TeamInfo!F22),"",TeamInfo!F22)</f>
        <v>&lt;SD2 Name&gt;</v>
      </c>
    </row>
    <row r="26" spans="1:6" ht="9" customHeight="1" x14ac:dyDescent="0.3">
      <c r="A26" s="69"/>
      <c r="B26" s="92"/>
      <c r="C26" s="94"/>
      <c r="D26" s="95"/>
    </row>
    <row r="27" spans="1:6" ht="16.8" x14ac:dyDescent="0.3">
      <c r="A27" s="69" t="s">
        <v>32</v>
      </c>
      <c r="B27" s="92" t="str">
        <f>+TeamInfo!F34</f>
        <v>&lt;MD Name&gt;</v>
      </c>
      <c r="C27" s="92"/>
      <c r="D27" s="92" t="str">
        <f>IF(ISBLANK(TeamInfo!F35),"",TeamInfo!F35)</f>
        <v>&lt;MD2 Name&gt;</v>
      </c>
    </row>
    <row r="28" spans="1:6" ht="9" customHeight="1" x14ac:dyDescent="0.3">
      <c r="A28" s="73"/>
    </row>
    <row r="29" spans="1:6" ht="16.8" x14ac:dyDescent="0.3">
      <c r="A29" s="69" t="s">
        <v>33</v>
      </c>
      <c r="B29" s="69" t="s">
        <v>107</v>
      </c>
      <c r="C29" s="69"/>
      <c r="D29" s="69"/>
      <c r="E29" s="69"/>
    </row>
    <row r="30" spans="1:6" ht="16.8" x14ac:dyDescent="0.25">
      <c r="A30" s="285" t="s">
        <v>108</v>
      </c>
      <c r="B30" s="285"/>
      <c r="C30" s="285"/>
      <c r="D30" s="285"/>
      <c r="E30" s="285"/>
    </row>
    <row r="31" spans="1:6" ht="16.8" x14ac:dyDescent="0.25">
      <c r="A31" s="285" t="s">
        <v>274</v>
      </c>
      <c r="B31" s="285"/>
      <c r="C31" s="285"/>
      <c r="D31" s="285"/>
      <c r="E31" s="285"/>
    </row>
    <row r="32" spans="1:6" ht="16.8" x14ac:dyDescent="0.25">
      <c r="A32" s="285" t="s">
        <v>109</v>
      </c>
      <c r="B32" s="285"/>
      <c r="C32" s="285"/>
      <c r="D32" s="285"/>
      <c r="E32" s="285"/>
    </row>
    <row r="33" spans="1:5" ht="16.8" x14ac:dyDescent="0.25">
      <c r="A33" s="285" t="s">
        <v>110</v>
      </c>
      <c r="B33" s="285"/>
      <c r="C33" s="285"/>
      <c r="D33" s="285"/>
      <c r="E33" s="285"/>
    </row>
    <row r="34" spans="1:5" ht="16.8" x14ac:dyDescent="0.25">
      <c r="A34" s="285" t="s">
        <v>347</v>
      </c>
      <c r="B34" s="285"/>
      <c r="C34" s="285"/>
      <c r="D34" s="285"/>
      <c r="E34" s="285"/>
    </row>
    <row r="35" spans="1:5" ht="16.8" x14ac:dyDescent="0.3">
      <c r="A35" s="283" t="s">
        <v>275</v>
      </c>
      <c r="B35" s="283"/>
      <c r="C35" s="283"/>
      <c r="D35" s="283"/>
      <c r="E35" s="283"/>
    </row>
    <row r="36" spans="1:5" ht="9" customHeight="1" thickBot="1" x14ac:dyDescent="0.3">
      <c r="A36" s="16"/>
    </row>
    <row r="37" spans="1:5" s="75" customFormat="1" ht="36" customHeight="1" thickBot="1" x14ac:dyDescent="0.3">
      <c r="A37" s="204" t="str">
        <f>+Schedule!D15</f>
        <v>Priesthood of All Believers</v>
      </c>
      <c r="B37" s="205" t="str">
        <f>+Schedule!D16</f>
        <v>&lt;TL1 Name&gt;</v>
      </c>
      <c r="C37" s="206" t="s">
        <v>20</v>
      </c>
      <c r="D37" s="207" t="str">
        <f>+Schedule!D17</f>
        <v>Life of Piety</v>
      </c>
      <c r="E37" s="208" t="str">
        <f>+Schedule!D18</f>
        <v>&lt;TL2 Name&gt;</v>
      </c>
    </row>
    <row r="38" spans="1:5" s="73" customFormat="1" ht="15" customHeight="1" x14ac:dyDescent="0.3">
      <c r="A38" s="80" t="s">
        <v>21</v>
      </c>
      <c r="B38" s="96" t="str">
        <f>IF(ISBLANK(VLOOKUP("Thurs.#2-1",Previews!A9:E31,5,FALSE)),"",VLOOKUP("Thurs.#2-1",Previews!A9:E31,5,FALSE))</f>
        <v>&lt;ATL1 Name&gt;</v>
      </c>
      <c r="C38" s="81"/>
      <c r="D38" s="82" t="s">
        <v>21</v>
      </c>
      <c r="E38" s="98" t="str">
        <f>IF(ISBLANK(VLOOKUP("Thurs.#2-2",Previews!A9:E31,5,FALSE)),"",VLOOKUP("Thurs.#2-2",Previews!A9:E31,5,FALSE))</f>
        <v>&lt;ATL2 Name&gt;</v>
      </c>
    </row>
    <row r="39" spans="1:5" s="73" customFormat="1" ht="16.8" x14ac:dyDescent="0.3">
      <c r="A39" s="82" t="s">
        <v>162</v>
      </c>
      <c r="B39" s="78" t="str">
        <f>IF(ISBLANK(VLOOKUP("Thurs.#2-1",Previews!A9:C31,3,FALSE)),"",VLOOKUP("Thurs.#2-1",Previews!A9:C31,3,FALSE))</f>
        <v>Pp. 25, 71-72</v>
      </c>
      <c r="C39" s="81"/>
      <c r="D39" s="82" t="s">
        <v>162</v>
      </c>
      <c r="E39" s="78" t="str">
        <f>IF(ISBLANK(VLOOKUP("Thurs.#2-2",Previews!A9:C31,3,FALSE)),"",VLOOKUP("Thurs.#2-2",Previews!A9:C31,3,FALSE))</f>
        <v>Pp. 26, 72</v>
      </c>
    </row>
    <row r="40" spans="1:5" s="73" customFormat="1" ht="16.8" x14ac:dyDescent="0.3">
      <c r="A40" s="82" t="s">
        <v>200</v>
      </c>
      <c r="B40" s="84" t="s">
        <v>22</v>
      </c>
      <c r="C40" s="85"/>
      <c r="D40" s="82" t="s">
        <v>200</v>
      </c>
      <c r="E40" s="84" t="s">
        <v>23</v>
      </c>
    </row>
    <row r="41" spans="1:5" s="73" customFormat="1" ht="16.8" x14ac:dyDescent="0.3">
      <c r="A41" s="99" t="str">
        <f>IF(ISBLANK(VLOOKUP("Thurs.#2-1",Previews!$A$9:$G$31,7,FALSE)),"",VLOOKUP("Thurs.#2-1",Previews!$A$9:$G$31,7,FALSE))</f>
        <v>&lt;ALD2 Name&gt;</v>
      </c>
      <c r="B41" s="98" t="str">
        <f>IF(ISBLANK(VLOOKUP("Thurs.#2-1",Previews!$A$9:$H$31,8,FALSE)),"",VLOOKUP("Thurs.#2-1",Previews!$A$9:$H$31,8,FALSE))</f>
        <v>&lt;ALD1 Name&gt;</v>
      </c>
      <c r="C41" s="106"/>
      <c r="D41" s="99" t="str">
        <f>IF(ISBLANK(VLOOKUP("Thurs.#2-2",Previews!$A$9:$G$31,7,FALSE)),"",VLOOKUP("Thurs.#2-2",Previews!$A$9:$G$31,7,FALSE))</f>
        <v>&lt;ALD3 Name&gt;</v>
      </c>
      <c r="E41" s="98" t="str">
        <f>IF(ISBLANK(VLOOKUP("Thurs.#2-2",Previews!$A$9:$H$31,8,FALSE)),"",VLOOKUP("Thurs.#2-2",Previews!$A$9:$H$31,8,FALSE))</f>
        <v>&lt;LD Name&gt;</v>
      </c>
    </row>
    <row r="42" spans="1:5" s="73" customFormat="1" ht="16.8" x14ac:dyDescent="0.3">
      <c r="A42" s="99" t="str">
        <f>IF(ISBLANK(VLOOKUP("Thurs.#2-1",Previews!$A$9:$I$31,9,FALSE)),"",VLOOKUP("Thurs.#2-1",Previews!$A$9:$I$31,9,FALSE))</f>
        <v/>
      </c>
      <c r="B42" s="98" t="str">
        <f>IF(ISBLANK(VLOOKUP("Thurs.#2-1",Previews!$A$9:$J$31,10,FALSE)),"",VLOOKUP("Thurs.#2-1",Previews!$A$9:$J$31,10,FALSE))</f>
        <v/>
      </c>
      <c r="C42" s="106"/>
      <c r="D42" s="99" t="str">
        <f>IF(ISBLANK(VLOOKUP("Thurs.#2-2",Previews!$A$9:$I$31,9,FALSE)),"",VLOOKUP("Thurs.#2-2",Previews!$A$9:$I$31,9,FALSE))</f>
        <v/>
      </c>
      <c r="E42" s="98" t="str">
        <f>IF(ISBLANK(VLOOKUP("Thurs.#2-2",Previews!$A$9:$J$31,10,FALSE)),"",VLOOKUP("Thurs.#2-2",Previews!$A$9:$J$31,10,FALSE))</f>
        <v/>
      </c>
    </row>
    <row r="43" spans="1:5" s="73" customFormat="1" ht="16.8" x14ac:dyDescent="0.3">
      <c r="A43" s="99" t="str">
        <f>IF(ISBLANK(VLOOKUP("Thurs.#2-1",Previews!$A$9:$K$31,11,FALSE)),"",VLOOKUP("Thurs.#2-1",Previews!$A$9:$K$31,11,FALSE))</f>
        <v>&lt;TL3 Name&gt;</v>
      </c>
      <c r="B43" s="98" t="str">
        <f>IF(ISBLANK(VLOOKUP("Thurs.#2-1",Previews!$A$9:$L$31,12,FALSE)),"",VLOOKUP("Thurs.#2-1",Previews!$A$9:$L$31,12,FALSE))</f>
        <v>&lt;ATL4 Name&gt;</v>
      </c>
      <c r="C43" s="106"/>
      <c r="D43" s="99" t="str">
        <f>IF(ISBLANK(VLOOKUP("Thurs.#2-2",Previews!$A$9:$K$31,11,FALSE)),"",VLOOKUP("Thurs.#2-2",Previews!$A$9:$K$31,11,FALSE))</f>
        <v>&lt;ATL3 Name&gt;</v>
      </c>
      <c r="E43" s="98" t="str">
        <f>IF(ISBLANK(VLOOKUP("Thurs.#2-2",Previews!$A$9:$L$31,12,FALSE)),"",VLOOKUP("Thurs.#2-2",Previews!$A$9:$L$31,12,FALSE))</f>
        <v>&lt;TL4 Name&gt;</v>
      </c>
    </row>
    <row r="44" spans="1:5" s="73" customFormat="1" ht="14.25" customHeight="1" x14ac:dyDescent="0.3">
      <c r="A44" s="99" t="str">
        <f>IF(ISBLANK(VLOOKUP("Thurs.#2-1",Previews!$A$9:$M$31,13,FALSE)),"",VLOOKUP("Thurs.#2-1",Previews!$A$9:$M$31,13,FALSE))</f>
        <v>&lt;TL5 Name&gt;</v>
      </c>
      <c r="B44" s="98" t="str">
        <f>IF(ISBLANK(VLOOKUP("Thurs.#2-1",Previews!$A$9:$N$31,14,FALSE)),"",VLOOKUP("Thurs.#2-1",Previews!$A$9:$N$31,14,FALSE))</f>
        <v>&lt;TL6 Name&gt;</v>
      </c>
      <c r="C44" s="107"/>
      <c r="D44" s="99" t="str">
        <f>IF(ISBLANK(VLOOKUP("Thurs.#2-2",Previews!$A$9:$M$31,13,FALSE)),"",VLOOKUP("Thurs.#2-2",Previews!$A$9:$M$31,13,FALSE))</f>
        <v>&lt;ATL5 Name&gt;</v>
      </c>
      <c r="E44" s="98" t="str">
        <f>IF(ISBLANK(VLOOKUP("Thurs.#2-2",Previews!$A$9:$N$31,14,FALSE)),"",VLOOKUP("Thurs.#2-2",Previews!$A$9:$N$31,14,FALSE))</f>
        <v>&lt;TL7 Name&gt;</v>
      </c>
    </row>
    <row r="45" spans="1:5" s="73" customFormat="1" ht="15" customHeight="1" x14ac:dyDescent="0.3">
      <c r="A45" s="99" t="str">
        <f>IF(ISBLANK(VLOOKUP("Thurs.#2-1",Previews!$A$9:$O$31,15,FALSE)),"",VLOOKUP("Thurs.#2-1",Previews!$A$9:$O$31,15,FALSE))</f>
        <v>&lt;BR Name&gt;</v>
      </c>
      <c r="B45" s="98" t="str">
        <f>IF(ISBLANK(VLOOKUP("Thurs.#2-1",Previews!$A$9:$P$31,16,FALSE)),"",VLOOKUP("Thurs.#2-1",Previews!$A$9:$P$31,16,FALSE))</f>
        <v>&lt;MD Name&gt;</v>
      </c>
      <c r="C45" s="107"/>
      <c r="D45" s="99" t="str">
        <f>IF(ISBLANK(VLOOKUP("Thurs.#2-2",Previews!$A$9:$O$31,15,FALSE)),"",VLOOKUP("Thurs.#2-2",Previews!$A$9:$O$31,15,FALSE))</f>
        <v>&lt;TD Name&gt;</v>
      </c>
      <c r="E45" s="98" t="str">
        <f>IF(ISBLANK(VLOOKUP("Thurs.#2-2",Previews!$A$9:$P$31,16,FALSE)),"",VLOOKUP("Thurs.#2-2",Previews!$A$9:$P$31,16,FALSE))</f>
        <v>&lt;SD Name&gt;</v>
      </c>
    </row>
    <row r="46" spans="1:5" s="73" customFormat="1" ht="15" customHeight="1" thickBot="1" x14ac:dyDescent="0.35">
      <c r="A46" s="101" t="str">
        <f>IF(ISBLANK(VLOOKUP("Thurs.#2-1",Previews!$A$9:$Q$31,17,FALSE)),"",VLOOKUP("Thurs.#2-1",Previews!$A$9:$Q$31,17,FALSE))</f>
        <v>&lt;SD2 Name&gt;</v>
      </c>
      <c r="B46" s="102" t="str">
        <f>IF(ISBLANK(VLOOKUP("Thurs.#2-1",Previews!$A$9:$R$31,18,FALSE)),"",VLOOKUP("Thurs.#2-1",Previews!$A$9:$R$31,18,FALSE))</f>
        <v>&lt;TD2 Name&gt;</v>
      </c>
      <c r="C46" s="106"/>
      <c r="D46" s="101" t="str">
        <f>IF(ISBLANK(VLOOKUP("Thurs.#2-2",Previews!$A$9:$Q$31,17,FALSE)),"",VLOOKUP("Thurs.#2-2",Previews!$A$9:$Q$31,17,FALSE))</f>
        <v>&lt;MD2 Name&gt;</v>
      </c>
      <c r="E46" s="102" t="str">
        <f>IF(ISBLANK(VLOOKUP("Thurs.#2-2",Previews!$A$9:$R$31,18,FALSE)),"",VLOOKUP("Thurs.#2-2",Previews!$A$9:$R$31,18,FALSE))</f>
        <v/>
      </c>
    </row>
    <row r="47" spans="1:5" ht="9" customHeight="1" x14ac:dyDescent="0.25">
      <c r="A47" s="63"/>
      <c r="B47" s="63"/>
      <c r="C47" s="62"/>
      <c r="D47" s="63"/>
      <c r="E47" s="63"/>
    </row>
    <row r="48" spans="1:5" ht="16.8" x14ac:dyDescent="0.3">
      <c r="A48" s="90" t="s">
        <v>34</v>
      </c>
      <c r="B48" s="92" t="str">
        <f>IF(ISBLANK(VLOOKUP("Thurs.#2-1",Previews!A9:F31,6,FALSE)),"",VLOOKUP("Thurs.#2-1",Previews!A9:F31,6,FALSE))</f>
        <v>&lt;ALD1 Name&gt;</v>
      </c>
      <c r="C48" s="92"/>
    </row>
    <row r="49" spans="1:5" ht="16.8" x14ac:dyDescent="0.3">
      <c r="A49" s="69" t="s">
        <v>35</v>
      </c>
      <c r="B49" s="92" t="str">
        <f>IF(ISBLANK(VLOOKUP("Thurs.#2-1",Previews!A9:G31,7,FALSE)),"",VLOOKUP("Thurs.#2-1",Previews!A9:G31,7,FALSE))</f>
        <v>&lt;ALD2 Name&gt;</v>
      </c>
      <c r="C49" s="92"/>
      <c r="D49" s="92" t="str">
        <f>IF(ISBLANK(VLOOKUP("Thurs.#2-2",Previews!A9:G31,7,FALSE)),"",VLOOKUP("Thurs.#2-2",Previews!A9:G31,7,FALSE))</f>
        <v>&lt;ALD3 Name&gt;</v>
      </c>
    </row>
    <row r="50" spans="1:5" ht="9" customHeight="1" x14ac:dyDescent="0.3">
      <c r="A50" s="69"/>
      <c r="B50" s="92"/>
      <c r="C50" s="92"/>
    </row>
    <row r="51" spans="1:5" ht="16.8" x14ac:dyDescent="0.3">
      <c r="A51" s="69" t="s">
        <v>57</v>
      </c>
      <c r="B51" s="95"/>
      <c r="C51" s="95"/>
    </row>
    <row r="52" spans="1:5" ht="16.8" x14ac:dyDescent="0.3">
      <c r="A52" s="69" t="s">
        <v>38</v>
      </c>
      <c r="B52" s="95"/>
      <c r="C52" s="95"/>
    </row>
    <row r="53" spans="1:5" ht="9" customHeight="1" x14ac:dyDescent="0.3">
      <c r="A53" s="69"/>
      <c r="B53" s="95"/>
      <c r="C53" s="95"/>
    </row>
    <row r="54" spans="1:5" ht="16.8" x14ac:dyDescent="0.3">
      <c r="A54" s="69" t="s">
        <v>39</v>
      </c>
      <c r="B54" s="92" t="str">
        <f>+TeamInfo!F27</f>
        <v>&lt;LD Name&gt;</v>
      </c>
      <c r="C54" s="95"/>
    </row>
    <row r="55" spans="1:5" ht="16.8" x14ac:dyDescent="0.3">
      <c r="A55" s="105" t="s">
        <v>429</v>
      </c>
      <c r="B55" s="15"/>
    </row>
    <row r="56" spans="1:5" ht="16.8" x14ac:dyDescent="0.3">
      <c r="A56" s="105" t="str">
        <f>"  (Let "&amp;+TeamInfo!F28&amp;" know if you would like to purchase personal copy of Sustaining the Spirit)"</f>
        <v xml:space="preserve">  (Let &lt;ALD1 Name&gt; know if you would like to purchase personal copy of Sustaining the Spirit)</v>
      </c>
      <c r="B56" s="20"/>
    </row>
    <row r="57" spans="1:5" ht="16.8" x14ac:dyDescent="0.3">
      <c r="A57" s="105" t="s">
        <v>428</v>
      </c>
      <c r="B57" s="15"/>
      <c r="E57" s="15"/>
    </row>
    <row r="58" spans="1:5" s="199" customFormat="1" ht="16.8" x14ac:dyDescent="0.3">
      <c r="A58" s="105" t="s">
        <v>430</v>
      </c>
      <c r="B58" s="15"/>
      <c r="E58" s="15"/>
    </row>
    <row r="59" spans="1:5" ht="16.8" x14ac:dyDescent="0.3">
      <c r="A59" s="105" t="s">
        <v>41</v>
      </c>
      <c r="B59" s="15"/>
    </row>
    <row r="60" spans="1:5" ht="16.8" x14ac:dyDescent="0.3">
      <c r="A60" s="105" t="s">
        <v>327</v>
      </c>
      <c r="B60" s="15"/>
    </row>
    <row r="61" spans="1:5" ht="16.8" x14ac:dyDescent="0.3">
      <c r="A61" s="105" t="s">
        <v>366</v>
      </c>
      <c r="B61" s="15"/>
    </row>
    <row r="62" spans="1:5" ht="16.8" x14ac:dyDescent="0.3">
      <c r="A62" s="105" t="s">
        <v>328</v>
      </c>
      <c r="B62" s="15"/>
    </row>
    <row r="63" spans="1:5" ht="16.8" x14ac:dyDescent="0.3">
      <c r="A63" s="105" t="s">
        <v>130</v>
      </c>
      <c r="B63" s="15"/>
    </row>
    <row r="64" spans="1:5" ht="16.8" x14ac:dyDescent="0.3">
      <c r="A64" s="105" t="str">
        <f>"Speakers - Final talk copies to "&amp;TeamInfo!E28&amp;" and Tech Directors within 2 weeks after preview"</f>
        <v>Speakers - Final talk copies to Arrears - ALD and Tech Directors within 2 weeks after preview</v>
      </c>
      <c r="B64" s="15"/>
    </row>
    <row r="65" spans="1:5" ht="9" customHeight="1" x14ac:dyDescent="0.3">
      <c r="A65" s="69"/>
    </row>
    <row r="66" spans="1:5" ht="16.8" x14ac:dyDescent="0.3">
      <c r="A66" s="69" t="s">
        <v>44</v>
      </c>
      <c r="B66" s="15"/>
    </row>
    <row r="67" spans="1:5" ht="16.8" x14ac:dyDescent="0.3">
      <c r="A67" s="105" t="s">
        <v>3</v>
      </c>
      <c r="B67" s="92" t="str">
        <f>+Schedule!C19</f>
        <v>&lt;ATL2 Name&gt;</v>
      </c>
      <c r="C67" s="92"/>
      <c r="D67" s="92"/>
      <c r="E67" s="17"/>
    </row>
    <row r="68" spans="1:5" ht="16.8" x14ac:dyDescent="0.3">
      <c r="A68" s="105" t="s">
        <v>45</v>
      </c>
      <c r="B68" s="92" t="str">
        <f>+Schedule!D20</f>
        <v>&lt;TL3 Name&gt;</v>
      </c>
      <c r="C68" s="92"/>
      <c r="D68" s="92" t="str">
        <f>+Schedule!D22</f>
        <v>&lt;TL4 Name&gt;</v>
      </c>
      <c r="E68" s="17"/>
    </row>
    <row r="69" spans="1:5" ht="16.8" x14ac:dyDescent="0.3">
      <c r="A69" s="105" t="s">
        <v>46</v>
      </c>
      <c r="B69" s="103" t="str">
        <f>CONCATENATE("     "&amp;+Schedule!E19&amp;",  "&amp;+Schedule!E20&amp;",  "&amp;+Schedule!E21,IF(ISBLANK(Schedule!E22),"",",  "&amp;Schedule!E22))</f>
        <v xml:space="preserve">     &lt;TL1 Name&gt;,  &lt;TL2 Name&gt;,  &lt;ATL1 Name&gt;</v>
      </c>
      <c r="C69" s="92"/>
      <c r="D69" s="92"/>
      <c r="E69" s="17" t="str">
        <f>IF(ISBLANK(Schedule!E22),"",Schedule!E22)</f>
        <v/>
      </c>
    </row>
    <row r="70" spans="1:5" ht="9" customHeight="1" x14ac:dyDescent="0.3">
      <c r="A70" s="69"/>
    </row>
    <row r="71" spans="1:5" ht="16.8" x14ac:dyDescent="0.3">
      <c r="A71" s="69" t="s">
        <v>47</v>
      </c>
      <c r="B71" s="95"/>
      <c r="C71" s="95"/>
      <c r="D71" s="95"/>
    </row>
    <row r="72" spans="1:5" ht="16.8" x14ac:dyDescent="0.3">
      <c r="A72" s="69" t="s">
        <v>48</v>
      </c>
      <c r="B72" s="92" t="str">
        <f>+TeamInfo!F28</f>
        <v>&lt;ALD1 Name&gt;</v>
      </c>
      <c r="C72" s="95"/>
      <c r="D72" s="95"/>
    </row>
    <row r="74" spans="1:5" s="211" customFormat="1" ht="16.8" x14ac:dyDescent="0.3">
      <c r="A74" s="105" t="s">
        <v>444</v>
      </c>
      <c r="B74" s="222"/>
      <c r="C74" s="95"/>
      <c r="D74" s="95"/>
      <c r="E74" s="95"/>
    </row>
  </sheetData>
  <mergeCells count="8">
    <mergeCell ref="A33:E33"/>
    <mergeCell ref="A34:E34"/>
    <mergeCell ref="A35:E35"/>
    <mergeCell ref="D2:E2"/>
    <mergeCell ref="A1:E1"/>
    <mergeCell ref="A30:E30"/>
    <mergeCell ref="A31:E31"/>
    <mergeCell ref="A32:E32"/>
  </mergeCells>
  <phoneticPr fontId="6" type="noConversion"/>
  <pageMargins left="0.5" right="0.35" top="0.35" bottom="0.35" header="0.25" footer="0.25"/>
  <pageSetup orientation="portrait" r:id="rId1"/>
  <headerFooter alignWithMargins="0"/>
  <rowBreaks count="1" manualBreakCount="1">
    <brk id="49"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E13BF8-4E84-42BA-B51C-B6AC292D7F46}">
  <dimension ref="A1:F19"/>
  <sheetViews>
    <sheetView workbookViewId="0">
      <selection sqref="A1:E1"/>
    </sheetView>
  </sheetViews>
  <sheetFormatPr defaultRowHeight="13.2" x14ac:dyDescent="0.25"/>
  <cols>
    <col min="1" max="2" width="23.5546875" style="168" customWidth="1"/>
    <col min="3" max="3" width="2.33203125" style="168" customWidth="1"/>
    <col min="4" max="5" width="23.5546875" style="168" customWidth="1"/>
    <col min="6" max="16384" width="8.88671875" style="168"/>
  </cols>
  <sheetData>
    <row r="1" spans="1:6" s="104" customFormat="1" ht="18" x14ac:dyDescent="0.35">
      <c r="A1" s="257" t="str">
        <f>+"New-Ark Area Emmaus "&amp;TeamInfo!D5&amp;" "&amp;TeamInfo!D6</f>
        <v xml:space="preserve">New-Ark Area Emmaus Wo/Men's Walk #NN </v>
      </c>
      <c r="B1" s="257"/>
      <c r="C1" s="257"/>
      <c r="D1" s="257"/>
      <c r="E1" s="257"/>
    </row>
    <row r="2" spans="1:6" ht="17.399999999999999" x14ac:dyDescent="0.3">
      <c r="A2" s="170" t="s">
        <v>293</v>
      </c>
      <c r="B2" s="169"/>
      <c r="C2" s="169"/>
      <c r="D2" s="282">
        <f>+Schedule!B19</f>
        <v>36571</v>
      </c>
      <c r="E2" s="282"/>
    </row>
    <row r="3" spans="1:6" ht="6" customHeight="1" x14ac:dyDescent="0.25">
      <c r="A3" s="14"/>
    </row>
    <row r="4" spans="1:6" ht="16.8" x14ac:dyDescent="0.3">
      <c r="A4" s="172" t="s">
        <v>364</v>
      </c>
      <c r="B4" s="284" t="s">
        <v>394</v>
      </c>
      <c r="C4" s="284"/>
      <c r="D4" s="284"/>
      <c r="E4" s="284"/>
    </row>
    <row r="5" spans="1:6" ht="16.8" x14ac:dyDescent="0.3">
      <c r="A5" s="182" t="s">
        <v>3</v>
      </c>
      <c r="B5" s="92" t="str">
        <f>+Schedule!C19</f>
        <v>&lt;ATL2 Name&gt;</v>
      </c>
    </row>
    <row r="6" spans="1:6" ht="16.8" x14ac:dyDescent="0.3">
      <c r="A6" s="182" t="s">
        <v>279</v>
      </c>
      <c r="B6" s="103" t="str">
        <f>CONCATENATE("     "&amp;+Schedule!E19&amp;",  "&amp;+Schedule!E20&amp;",  "&amp;+Schedule!E21,IF(ISBLANK(Schedule!E22),"",",  "&amp;Schedule!E22))</f>
        <v xml:space="preserve">     &lt;TL1 Name&gt;,  &lt;TL2 Name&gt;,  &lt;ATL1 Name&gt;</v>
      </c>
      <c r="C6" s="92"/>
      <c r="D6" s="92"/>
      <c r="E6" s="92"/>
      <c r="F6" s="95"/>
    </row>
    <row r="7" spans="1:6" s="176" customFormat="1" ht="15.6" x14ac:dyDescent="0.3">
      <c r="A7" s="197" t="s">
        <v>286</v>
      </c>
      <c r="B7" s="92" t="str">
        <f>+TeamInfo!F28</f>
        <v>&lt;ALD1 Name&gt;</v>
      </c>
    </row>
    <row r="8" spans="1:6" ht="16.8" x14ac:dyDescent="0.3">
      <c r="A8" s="182" t="s">
        <v>31</v>
      </c>
      <c r="B8" s="92" t="str">
        <f>+TeamInfo!F21</f>
        <v>&lt;SD Name&gt;</v>
      </c>
      <c r="C8" s="94"/>
      <c r="D8" s="94" t="str">
        <f>IF(ISBLANK(TeamInfo!F22),"",TeamInfo!F22)</f>
        <v>&lt;SD2 Name&gt;</v>
      </c>
    </row>
    <row r="9" spans="1:6" ht="16.2" customHeight="1" x14ac:dyDescent="0.3">
      <c r="A9" s="182" t="s">
        <v>33</v>
      </c>
      <c r="B9" s="172"/>
      <c r="C9" s="172"/>
      <c r="D9" s="172"/>
      <c r="E9" s="172"/>
    </row>
    <row r="10" spans="1:6" s="73" customFormat="1" ht="18" customHeight="1" x14ac:dyDescent="0.3">
      <c r="A10" s="186" t="str">
        <f>+Schedule!D19</f>
        <v>Grow Through Study</v>
      </c>
      <c r="B10" s="187" t="str">
        <f>+Schedule!D20</f>
        <v>&lt;TL3 Name&gt;</v>
      </c>
      <c r="C10" s="188" t="s">
        <v>20</v>
      </c>
      <c r="D10" s="186" t="str">
        <f>+Schedule!D21</f>
        <v>Christian Action</v>
      </c>
      <c r="E10" s="187" t="str">
        <f>+Schedule!D22</f>
        <v>&lt;TL4 Name&gt;</v>
      </c>
    </row>
    <row r="11" spans="1:6" ht="16.8" x14ac:dyDescent="0.3">
      <c r="A11" s="182" t="s">
        <v>48</v>
      </c>
      <c r="B11" s="92" t="str">
        <f>+TeamInfo!F28</f>
        <v>&lt;ALD1 Name&gt;</v>
      </c>
      <c r="C11" s="95"/>
      <c r="D11" s="95"/>
      <c r="E11" s="95"/>
    </row>
    <row r="12" spans="1:6" ht="16.8" x14ac:dyDescent="0.3">
      <c r="A12" s="172"/>
      <c r="B12" s="92"/>
      <c r="C12" s="171"/>
      <c r="D12" s="75"/>
      <c r="E12" s="73"/>
    </row>
    <row r="13" spans="1:6" ht="16.8" x14ac:dyDescent="0.3">
      <c r="A13" s="172" t="s">
        <v>365</v>
      </c>
      <c r="B13" s="283" t="s">
        <v>372</v>
      </c>
      <c r="C13" s="283"/>
      <c r="D13" s="283"/>
      <c r="E13" s="283"/>
      <c r="F13" s="172"/>
    </row>
    <row r="14" spans="1:6" s="224" customFormat="1" ht="16.8" x14ac:dyDescent="0.3">
      <c r="A14" s="225"/>
      <c r="B14" s="283" t="s">
        <v>392</v>
      </c>
      <c r="C14" s="283"/>
      <c r="D14" s="283"/>
      <c r="E14" s="283"/>
      <c r="F14" s="225"/>
    </row>
    <row r="15" spans="1:6" ht="16.8" x14ac:dyDescent="0.3">
      <c r="A15" s="73"/>
      <c r="B15" s="283" t="s">
        <v>373</v>
      </c>
      <c r="C15" s="283"/>
      <c r="D15" s="283"/>
      <c r="E15" s="283"/>
    </row>
    <row r="16" spans="1:6" ht="16.8" x14ac:dyDescent="0.3">
      <c r="B16" s="283" t="s">
        <v>393</v>
      </c>
      <c r="C16" s="283"/>
      <c r="D16" s="283"/>
      <c r="E16" s="283"/>
    </row>
    <row r="17" spans="2:5" s="176" customFormat="1" ht="16.8" x14ac:dyDescent="0.3">
      <c r="B17" s="181" t="s">
        <v>391</v>
      </c>
      <c r="C17" s="181"/>
      <c r="D17" s="181"/>
      <c r="E17" s="181"/>
    </row>
    <row r="18" spans="2:5" ht="16.8" x14ac:dyDescent="0.3">
      <c r="B18" s="283" t="s">
        <v>375</v>
      </c>
      <c r="C18" s="283"/>
      <c r="D18" s="283"/>
      <c r="E18" s="283"/>
    </row>
    <row r="19" spans="2:5" s="176" customFormat="1" ht="16.8" x14ac:dyDescent="0.3">
      <c r="B19" s="283" t="s">
        <v>416</v>
      </c>
      <c r="C19" s="283"/>
      <c r="D19" s="283"/>
      <c r="E19" s="283"/>
    </row>
  </sheetData>
  <mergeCells count="9">
    <mergeCell ref="B15:E15"/>
    <mergeCell ref="B16:E16"/>
    <mergeCell ref="B18:E18"/>
    <mergeCell ref="B19:E19"/>
    <mergeCell ref="A1:E1"/>
    <mergeCell ref="D2:E2"/>
    <mergeCell ref="B4:E4"/>
    <mergeCell ref="B13:E13"/>
    <mergeCell ref="B14:E14"/>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76"/>
  <sheetViews>
    <sheetView workbookViewId="0">
      <selection sqref="A1:E1"/>
    </sheetView>
  </sheetViews>
  <sheetFormatPr defaultRowHeight="13.2" x14ac:dyDescent="0.25"/>
  <cols>
    <col min="1" max="2" width="23.5546875" customWidth="1"/>
    <col min="3" max="3" width="2.33203125" customWidth="1"/>
    <col min="4" max="4" width="23.5546875" customWidth="1"/>
    <col min="5" max="5" width="24.44140625" customWidth="1"/>
  </cols>
  <sheetData>
    <row r="1" spans="1:5" ht="17.399999999999999" x14ac:dyDescent="0.3">
      <c r="A1" s="257" t="str">
        <f>+"New-Ark Area Emmaus "&amp;TeamInfo!D5&amp;" "&amp;TeamInfo!D6</f>
        <v xml:space="preserve">New-Ark Area Emmaus Wo/Men's Walk #NN </v>
      </c>
      <c r="B1" s="257"/>
      <c r="C1" s="257"/>
      <c r="D1" s="257"/>
      <c r="E1" s="257"/>
    </row>
    <row r="2" spans="1:5" ht="17.399999999999999" x14ac:dyDescent="0.3">
      <c r="A2" s="68" t="s">
        <v>293</v>
      </c>
      <c r="B2" s="21"/>
      <c r="C2" s="21"/>
      <c r="D2" s="282">
        <f>+Schedule!B19</f>
        <v>36571</v>
      </c>
      <c r="E2" s="282"/>
    </row>
    <row r="3" spans="1:5" ht="6" customHeight="1" x14ac:dyDescent="0.25">
      <c r="A3" s="14"/>
    </row>
    <row r="4" spans="1:5" ht="16.8" x14ac:dyDescent="0.3">
      <c r="A4" s="69" t="s">
        <v>27</v>
      </c>
      <c r="B4" s="74" t="s">
        <v>26</v>
      </c>
    </row>
    <row r="5" spans="1:5" ht="16.8" x14ac:dyDescent="0.3">
      <c r="A5" s="69" t="s">
        <v>3</v>
      </c>
      <c r="B5" s="92" t="str">
        <f>+Schedule!C19</f>
        <v>&lt;ATL2 Name&gt;</v>
      </c>
    </row>
    <row r="6" spans="1:5" ht="16.8" x14ac:dyDescent="0.3">
      <c r="A6" s="69" t="s">
        <v>387</v>
      </c>
      <c r="B6" s="17"/>
    </row>
    <row r="7" spans="1:5" ht="16.8" x14ac:dyDescent="0.3">
      <c r="A7" s="69" t="s">
        <v>279</v>
      </c>
      <c r="B7" s="103" t="str">
        <f>CONCATENATE("     "&amp;+Schedule!E19&amp;",  "&amp;+Schedule!E20&amp;",  "&amp;+Schedule!E21,IF(ISBLANK(Schedule!E22),"",",  "&amp;Schedule!E22))</f>
        <v xml:space="preserve">     &lt;TL1 Name&gt;,  &lt;TL2 Name&gt;,  &lt;ATL1 Name&gt;</v>
      </c>
      <c r="C7" s="92"/>
      <c r="D7" s="92"/>
      <c r="E7" s="17"/>
    </row>
    <row r="8" spans="1:5" ht="16.8" x14ac:dyDescent="0.3">
      <c r="A8" s="69" t="s">
        <v>25</v>
      </c>
      <c r="B8" s="95"/>
      <c r="C8" s="95"/>
      <c r="D8" s="95"/>
    </row>
    <row r="9" spans="1:5" ht="16.8" x14ac:dyDescent="0.3">
      <c r="A9" s="69" t="s">
        <v>28</v>
      </c>
      <c r="B9" s="1"/>
    </row>
    <row r="10" spans="1:5" ht="16.8" x14ac:dyDescent="0.3">
      <c r="A10" s="69" t="s">
        <v>29</v>
      </c>
      <c r="B10" s="92" t="str">
        <f>+TeamInfo!F27</f>
        <v>&lt;LD Name&gt;</v>
      </c>
      <c r="C10" s="69" t="s">
        <v>446</v>
      </c>
      <c r="D10" s="69"/>
      <c r="E10" s="69"/>
    </row>
    <row r="11" spans="1:5" ht="16.8" x14ac:dyDescent="0.3">
      <c r="A11" s="69"/>
      <c r="B11" s="92"/>
      <c r="C11" s="69"/>
      <c r="D11" s="69" t="s">
        <v>447</v>
      </c>
      <c r="E11" s="69"/>
    </row>
    <row r="12" spans="1:5" ht="16.8" x14ac:dyDescent="0.3">
      <c r="A12" s="69" t="s">
        <v>24</v>
      </c>
      <c r="B12" s="95"/>
      <c r="C12" s="69"/>
      <c r="D12" s="69"/>
      <c r="E12" s="69"/>
    </row>
    <row r="13" spans="1:5" ht="16.8" x14ac:dyDescent="0.3">
      <c r="A13" s="69" t="s">
        <v>36</v>
      </c>
      <c r="B13" s="92" t="str">
        <f>+TeamInfo!F28</f>
        <v>&lt;ALD1 Name&gt;</v>
      </c>
      <c r="C13" s="69" t="s">
        <v>282</v>
      </c>
      <c r="D13" s="69"/>
      <c r="E13" s="69"/>
    </row>
    <row r="14" spans="1:5" ht="16.8" x14ac:dyDescent="0.3">
      <c r="A14" s="69" t="s">
        <v>281</v>
      </c>
      <c r="B14" s="92" t="str">
        <f>+TeamInfo!F28</f>
        <v>&lt;ALD1 Name&gt;</v>
      </c>
      <c r="C14" s="69" t="s">
        <v>436</v>
      </c>
      <c r="D14" s="69"/>
      <c r="E14" s="69"/>
    </row>
    <row r="15" spans="1:5" ht="16.8" x14ac:dyDescent="0.3">
      <c r="A15" s="69" t="s">
        <v>37</v>
      </c>
      <c r="B15" s="92" t="str">
        <f>+TeamInfo!F29</f>
        <v>&lt;ALD2 Name&gt;</v>
      </c>
      <c r="C15" s="69"/>
      <c r="D15" s="69"/>
      <c r="E15" s="69"/>
    </row>
    <row r="16" spans="1:5" ht="6" customHeight="1" x14ac:dyDescent="0.3">
      <c r="A16" s="69"/>
      <c r="B16" s="92"/>
      <c r="C16" s="69"/>
      <c r="D16" s="69"/>
      <c r="E16" s="69"/>
    </row>
    <row r="17" spans="1:6" ht="16.8" x14ac:dyDescent="0.3">
      <c r="A17" s="69" t="s">
        <v>331</v>
      </c>
      <c r="B17" s="92" t="str">
        <f>+TeamInfo!$F$30</f>
        <v>&lt;ALD3 Name&gt;</v>
      </c>
      <c r="C17" s="135" t="s">
        <v>439</v>
      </c>
      <c r="D17" s="135"/>
      <c r="E17" s="135"/>
      <c r="F17" s="69"/>
    </row>
    <row r="18" spans="1:6" ht="16.8" x14ac:dyDescent="0.3">
      <c r="A18" s="69" t="s">
        <v>329</v>
      </c>
      <c r="B18" s="92"/>
      <c r="C18" s="109" t="s">
        <v>367</v>
      </c>
      <c r="D18" s="69"/>
      <c r="E18" s="69"/>
      <c r="F18" s="69"/>
    </row>
    <row r="19" spans="1:6" ht="16.8" x14ac:dyDescent="0.3">
      <c r="A19" s="69"/>
      <c r="B19" s="92"/>
      <c r="C19" s="69" t="s">
        <v>330</v>
      </c>
      <c r="D19" s="69"/>
      <c r="E19" s="69"/>
      <c r="F19" s="69"/>
    </row>
    <row r="20" spans="1:6" ht="6" customHeight="1" x14ac:dyDescent="0.3">
      <c r="A20" s="73"/>
      <c r="B20" s="95"/>
      <c r="C20" s="69"/>
      <c r="D20" s="69"/>
      <c r="E20" s="69"/>
      <c r="F20" s="69"/>
    </row>
    <row r="21" spans="1:6" ht="16.8" x14ac:dyDescent="0.3">
      <c r="A21" s="69" t="s">
        <v>126</v>
      </c>
      <c r="B21" s="92" t="str">
        <f>+TeamInfo!$F$32</f>
        <v>&lt;TD Name&gt;</v>
      </c>
      <c r="C21" s="69"/>
      <c r="D21" s="92" t="str">
        <f>IF(ISBLANK(TeamInfo!$F$33),"",TeamInfo!$F$33)</f>
        <v>&lt;TD2 Name&gt;</v>
      </c>
      <c r="E21" s="69"/>
      <c r="F21" s="69"/>
    </row>
    <row r="22" spans="1:6" s="95" customFormat="1" ht="16.8" x14ac:dyDescent="0.3">
      <c r="A22" s="69" t="str">
        <f>"     Email talk to "&amp;TeamInfo!$D$9&amp;"td@new-arkemmaus.org with copy to "&amp;TeamInfo!$D$9&amp;"ld@new-arkemmaus.org"</f>
        <v xml:space="preserve">     Email talk to mwtd@new-arkemmaus.org with copy to mwld@new-arkemmaus.org</v>
      </c>
      <c r="B22" s="69"/>
      <c r="C22" s="69"/>
      <c r="D22" s="69"/>
      <c r="E22" s="69"/>
    </row>
    <row r="23" spans="1:6" ht="6" customHeight="1" x14ac:dyDescent="0.3">
      <c r="A23" s="72"/>
    </row>
    <row r="24" spans="1:6" ht="16.8" x14ac:dyDescent="0.3">
      <c r="A24" s="201" t="s">
        <v>286</v>
      </c>
      <c r="B24" s="92" t="str">
        <f>+TeamInfo!F28</f>
        <v>&lt;ALD1 Name&gt;</v>
      </c>
      <c r="C24" s="200" t="s">
        <v>432</v>
      </c>
      <c r="D24" s="200"/>
    </row>
    <row r="25" spans="1:6" ht="6" customHeight="1" x14ac:dyDescent="0.3">
      <c r="A25" s="72"/>
      <c r="B25" s="95"/>
    </row>
    <row r="26" spans="1:6" ht="16.8" x14ac:dyDescent="0.3">
      <c r="A26" s="69" t="s">
        <v>31</v>
      </c>
      <c r="B26" s="92" t="str">
        <f>+TeamInfo!F21</f>
        <v>&lt;SD Name&gt;</v>
      </c>
      <c r="C26" s="92"/>
      <c r="D26" s="92" t="str">
        <f>IF(ISBLANK(TeamInfo!F22),"",TeamInfo!F22)</f>
        <v>&lt;SD2 Name&gt;</v>
      </c>
    </row>
    <row r="27" spans="1:6" ht="6" customHeight="1" x14ac:dyDescent="0.3">
      <c r="A27" s="72"/>
      <c r="B27" s="95"/>
      <c r="C27" s="95"/>
      <c r="D27" s="95"/>
    </row>
    <row r="28" spans="1:6" ht="16.8" x14ac:dyDescent="0.3">
      <c r="A28" s="69" t="s">
        <v>32</v>
      </c>
      <c r="B28" s="92" t="str">
        <f>+TeamInfo!F34</f>
        <v>&lt;MD Name&gt;</v>
      </c>
      <c r="C28" s="92"/>
      <c r="D28" s="92" t="str">
        <f>IF(ISBLANK(TeamInfo!F35),"",TeamInfo!F35)</f>
        <v>&lt;MD2 Name&gt;</v>
      </c>
    </row>
    <row r="29" spans="1:6" ht="8.25" customHeight="1" x14ac:dyDescent="0.3">
      <c r="A29" s="73"/>
    </row>
    <row r="30" spans="1:6" ht="16.8" x14ac:dyDescent="0.3">
      <c r="A30" s="69" t="s">
        <v>33</v>
      </c>
      <c r="B30" s="69" t="s">
        <v>107</v>
      </c>
      <c r="C30" s="69"/>
      <c r="D30" s="69"/>
      <c r="E30" s="69"/>
    </row>
    <row r="31" spans="1:6" ht="16.8" x14ac:dyDescent="0.25">
      <c r="A31" s="285" t="s">
        <v>108</v>
      </c>
      <c r="B31" s="285"/>
      <c r="C31" s="285"/>
      <c r="D31" s="285"/>
      <c r="E31" s="285"/>
    </row>
    <row r="32" spans="1:6" ht="16.8" x14ac:dyDescent="0.25">
      <c r="A32" s="285" t="s">
        <v>274</v>
      </c>
      <c r="B32" s="285"/>
      <c r="C32" s="285"/>
      <c r="D32" s="285"/>
      <c r="E32" s="285"/>
    </row>
    <row r="33" spans="1:5" ht="16.8" x14ac:dyDescent="0.25">
      <c r="A33" s="285" t="s">
        <v>109</v>
      </c>
      <c r="B33" s="285"/>
      <c r="C33" s="285"/>
      <c r="D33" s="285"/>
      <c r="E33" s="285"/>
    </row>
    <row r="34" spans="1:5" ht="16.8" x14ac:dyDescent="0.25">
      <c r="A34" s="285" t="s">
        <v>110</v>
      </c>
      <c r="B34" s="285"/>
      <c r="C34" s="285"/>
      <c r="D34" s="285"/>
      <c r="E34" s="285"/>
    </row>
    <row r="35" spans="1:5" ht="16.8" x14ac:dyDescent="0.25">
      <c r="A35" s="285" t="s">
        <v>347</v>
      </c>
      <c r="B35" s="285"/>
      <c r="C35" s="285"/>
      <c r="D35" s="285"/>
      <c r="E35" s="285"/>
    </row>
    <row r="36" spans="1:5" ht="16.8" x14ac:dyDescent="0.3">
      <c r="A36" s="283" t="s">
        <v>275</v>
      </c>
      <c r="B36" s="283"/>
      <c r="C36" s="283"/>
      <c r="D36" s="283"/>
      <c r="E36" s="283"/>
    </row>
    <row r="37" spans="1:5" ht="9" customHeight="1" thickBot="1" x14ac:dyDescent="0.3">
      <c r="A37" s="16"/>
    </row>
    <row r="38" spans="1:5" s="75" customFormat="1" ht="25.2" customHeight="1" thickBot="1" x14ac:dyDescent="0.3">
      <c r="A38" s="204" t="str">
        <f>+Schedule!D19</f>
        <v>Grow Through Study</v>
      </c>
      <c r="B38" s="205" t="str">
        <f>+Schedule!D20</f>
        <v>&lt;TL3 Name&gt;</v>
      </c>
      <c r="C38" s="206" t="s">
        <v>20</v>
      </c>
      <c r="D38" s="207" t="str">
        <f>+Schedule!D21</f>
        <v>Christian Action</v>
      </c>
      <c r="E38" s="208" t="str">
        <f>+Schedule!D22</f>
        <v>&lt;TL4 Name&gt;</v>
      </c>
    </row>
    <row r="39" spans="1:5" s="73" customFormat="1" ht="15" customHeight="1" x14ac:dyDescent="0.3">
      <c r="A39" s="80" t="s">
        <v>21</v>
      </c>
      <c r="B39" s="96" t="str">
        <f>IF(ISBLANK(VLOOKUP("Thurs.#3-1",Previews!A9:E31,5,FALSE)),"",VLOOKUP("Thurs.#3-1",Previews!A9:E31,5,FALSE))</f>
        <v>&lt;ATL3 Name&gt;</v>
      </c>
      <c r="C39" s="81"/>
      <c r="D39" s="82" t="s">
        <v>21</v>
      </c>
      <c r="E39" s="98" t="str">
        <f>IF(ISBLANK(VLOOKUP("Thurs.#3-2",Previews!A9:E31,5,FALSE)),"",VLOOKUP("Thurs.#3-2",Previews!A9:E31,5,FALSE))</f>
        <v>&lt;ATL4 Name&gt;</v>
      </c>
    </row>
    <row r="40" spans="1:5" s="73" customFormat="1" ht="16.8" x14ac:dyDescent="0.3">
      <c r="A40" s="82" t="s">
        <v>162</v>
      </c>
      <c r="B40" s="78" t="str">
        <f>IF(ISBLANK(VLOOKUP("Thurs.#3-1",Previews!A9:C31,3,FALSE)),"",VLOOKUP("Thurs.#3-1",Previews!A9:C31,3,FALSE))</f>
        <v>Pp. 28, 72</v>
      </c>
      <c r="C40" s="81"/>
      <c r="D40" s="82" t="s">
        <v>162</v>
      </c>
      <c r="E40" s="78" t="str">
        <f>IF(ISBLANK(VLOOKUP("Thurs.#3-2",Previews!A9:C31,3,FALSE)),"",VLOOKUP("Thurs.#3-2",Previews!A9:C31,3,FALSE))</f>
        <v>Pp. 28, 73</v>
      </c>
    </row>
    <row r="41" spans="1:5" s="73" customFormat="1" ht="16.8" x14ac:dyDescent="0.3">
      <c r="A41" s="82" t="s">
        <v>200</v>
      </c>
      <c r="B41" s="84" t="s">
        <v>22</v>
      </c>
      <c r="C41" s="85"/>
      <c r="D41" s="82" t="s">
        <v>200</v>
      </c>
      <c r="E41" s="84" t="s">
        <v>23</v>
      </c>
    </row>
    <row r="42" spans="1:5" s="73" customFormat="1" ht="16.8" x14ac:dyDescent="0.3">
      <c r="A42" s="99" t="str">
        <f>IF(ISBLANK(VLOOKUP("Thurs.#3-1",Previews!$A$9:$G$31,7,FALSE)),"",VLOOKUP("Thurs.#3-1",Previews!$A$9:$G$31,7,FALSE))</f>
        <v>&lt;ALD1 Name&gt;</v>
      </c>
      <c r="B42" s="98" t="str">
        <f>IF(ISBLANK(VLOOKUP("Thurs.#3-1",Previews!$A$9:$H$31,8,FALSE)),"",VLOOKUP("Thurs.#3-1",Previews!$A$9:$H$31,8,FALSE))</f>
        <v>&lt;ALD2 Name&gt;</v>
      </c>
      <c r="C42" s="85"/>
      <c r="D42" s="99" t="str">
        <f>IF(ISBLANK(VLOOKUP("Thurs.#3-2",Previews!$A$9:$G$31,7,FALSE)),"",VLOOKUP("Thurs.#3-2",Previews!$A$9:$G$31,7,FALSE))</f>
        <v>&lt;ALD3 Name&gt;</v>
      </c>
      <c r="E42" s="98" t="str">
        <f>IF(ISBLANK(VLOOKUP("Thurs.#3-2",Previews!$A$9:$H$31,8,FALSE)),"",VLOOKUP("Thurs.#3-2",Previews!$A$9:$H$31,8,FALSE))</f>
        <v>&lt;LD Name&gt;</v>
      </c>
    </row>
    <row r="43" spans="1:5" s="73" customFormat="1" ht="16.8" x14ac:dyDescent="0.3">
      <c r="A43" s="99" t="str">
        <f>IF(ISBLANK(VLOOKUP("Thurs.#3-1",Previews!$A$9:$I$31,9,FALSE)),"",VLOOKUP("Thurs.#3-1",Previews!$A$9:$I$31,9,FALSE))</f>
        <v>&lt;TL1 Name&gt;</v>
      </c>
      <c r="B43" s="98" t="str">
        <f>IF(ISBLANK(VLOOKUP("Thurs.#3-1",Previews!$A$9:$J$31,10,FALSE)),"",VLOOKUP("Thurs.#3-1",Previews!$A$9:$J$31,10,FALSE))</f>
        <v>&lt;ATL2 Name&gt;</v>
      </c>
      <c r="C43" s="85"/>
      <c r="D43" s="99" t="str">
        <f>IF(ISBLANK(VLOOKUP("Thurs.#3-2",Previews!$A$9:$I$31,9,FALSE)),"",VLOOKUP("Thurs.#3-2",Previews!$A$9:$I$31,9,FALSE))</f>
        <v>&lt;ATL1 Name&gt;</v>
      </c>
      <c r="E43" s="98" t="str">
        <f>IF(ISBLANK(VLOOKUP("Thurs.#3-2",Previews!$A$9:$J$31,10,FALSE)),"",VLOOKUP("Thurs.#3-2",Previews!$A$9:$J$31,10,FALSE))</f>
        <v>&lt;TL2 Name&gt;</v>
      </c>
    </row>
    <row r="44" spans="1:5" s="73" customFormat="1" ht="17.25" customHeight="1" x14ac:dyDescent="0.3">
      <c r="A44" s="99" t="str">
        <f>IF(ISBLANK(VLOOKUP("Thurs.#3-1",Previews!$A$9:$K$31,11,FALSE)),"",VLOOKUP("Thurs.#3-1",Previews!$A$9:$K$31,11,FALSE))</f>
        <v/>
      </c>
      <c r="B44" s="98" t="str">
        <f>IF(ISBLANK(VLOOKUP("Thurs.#3-1",Previews!$A$9:$L$31,12,FALSE)),"",VLOOKUP("Thurs.#3-1",Previews!$A$9:$L$31,12,FALSE))</f>
        <v/>
      </c>
      <c r="C44" s="85"/>
      <c r="D44" s="99" t="str">
        <f>IF(ISBLANK(VLOOKUP("Thurs.#3-2",Previews!$A$9:$K$31,11,FALSE)),"",VLOOKUP("Thurs.#3-2",Previews!$A$9:$K$31,11,FALSE))</f>
        <v/>
      </c>
      <c r="E44" s="98" t="str">
        <f>IF(ISBLANK(VLOOKUP("Thurs.#3-2",Previews!$A$9:$L$31,12,FALSE)),"",VLOOKUP("Thurs.#3-2",Previews!$A$9:$L$31,12,FALSE))</f>
        <v/>
      </c>
    </row>
    <row r="45" spans="1:5" s="73" customFormat="1" ht="14.25" customHeight="1" x14ac:dyDescent="0.3">
      <c r="A45" s="99" t="str">
        <f>IF(ISBLANK(VLOOKUP("Thurs.#3-1",Previews!$A$9:$M$31,13,FALSE)),"",VLOOKUP("Thurs.#3-1",Previews!$A$9:$M$31,13,FALSE))</f>
        <v>&lt;ATL5 Name&gt;</v>
      </c>
      <c r="B45" s="98" t="str">
        <f>IF(ISBLANK(VLOOKUP("Thurs.#3-1",Previews!$A$9:$N$31,14,FALSE)),"",VLOOKUP("Thurs.#3-1",Previews!$A$9:$N$31,14,FALSE))</f>
        <v>&lt;TL7 Name&gt;</v>
      </c>
      <c r="C45" s="87"/>
      <c r="D45" s="99" t="str">
        <f>IF(ISBLANK(VLOOKUP("Thurs.#3-2",Previews!$A$9:$M$31,13,FALSE)),"",VLOOKUP("Thurs.#3-2",Previews!$A$9:$M$31,13,FALSE))</f>
        <v>&lt;TL5 Name&gt;</v>
      </c>
      <c r="E45" s="98" t="str">
        <f>IF(ISBLANK(VLOOKUP("Thurs.#3-2",Previews!$A$9:$N$31,14,FALSE)),"",VLOOKUP("Thurs.#3-2",Previews!$A$9:$N$31,14,FALSE))</f>
        <v>&lt;TL6 Name&gt;</v>
      </c>
    </row>
    <row r="46" spans="1:5" s="73" customFormat="1" ht="17.25" customHeight="1" x14ac:dyDescent="0.3">
      <c r="A46" s="99" t="str">
        <f>IF(ISBLANK(VLOOKUP("Thurs.#3-1",Previews!$A$9:$O$31,15,FALSE)),"",VLOOKUP("Thurs.#3-1",Previews!$A$9:$O$31,15,FALSE))</f>
        <v>&lt;BR Name&gt;</v>
      </c>
      <c r="B46" s="98" t="str">
        <f>IF(ISBLANK(VLOOKUP("Thurs.#3-1",Previews!$A$9:$P$31,16,FALSE)),"",VLOOKUP("Thurs.#3-1",Previews!$A$9:$P$31,16,FALSE))</f>
        <v>&lt;MD Name&gt;</v>
      </c>
      <c r="C46" s="87"/>
      <c r="D46" s="99" t="str">
        <f>IF(ISBLANK(VLOOKUP("Thurs.#3-2",Previews!$A$9:$O$31,15,FALSE)),"",VLOOKUP("Thurs.#3-2",Previews!$A$9:$O$31,15,FALSE))</f>
        <v>&lt;TD Name&gt;</v>
      </c>
      <c r="E46" s="98" t="str">
        <f>IF(ISBLANK(VLOOKUP("Thurs.#3-2",Previews!$A$9:$P$31,16,FALSE)),"",VLOOKUP("Thurs.#3-2",Previews!$A$9:$P$31,16,FALSE))</f>
        <v>&lt;SD Name&gt;</v>
      </c>
    </row>
    <row r="47" spans="1:5" s="73" customFormat="1" ht="17.25" customHeight="1" thickBot="1" x14ac:dyDescent="0.35">
      <c r="A47" s="101" t="str">
        <f>IF(ISBLANK(VLOOKUP("Thurs.#3-1",Previews!$A$9:$Q$31,17,FALSE)),"",VLOOKUP("Thurs.#3-1",Previews!$A$9:$Q$31,17,FALSE))</f>
        <v>&lt;SD2 Name&gt;</v>
      </c>
      <c r="B47" s="102" t="str">
        <f>IF(ISBLANK(VLOOKUP("Thurs.#3-1",Previews!$A$9:$R$31,18,FALSE)),"",VLOOKUP("Thurs.#3-1",Previews!$A$9:$R$31,18,FALSE))</f>
        <v>&lt;TD2 Name&gt;</v>
      </c>
      <c r="C47" s="85"/>
      <c r="D47" s="101" t="str">
        <f>IF(ISBLANK(VLOOKUP("Thurs.#3-2",Previews!$A$9:$Q$31,17,FALSE)),"",VLOOKUP("Thurs.#3-2",Previews!$A$9:$Q$31,17,FALSE))</f>
        <v>&lt;MD2 Name&gt;</v>
      </c>
      <c r="E47" s="102" t="str">
        <f>IF(ISBLANK(VLOOKUP("Thurs.#3-2",Previews!$A$9:$R$31,18,FALSE)),"",VLOOKUP("Thurs.#3-2",Previews!$A$9:$R$31,18,FALSE))</f>
        <v/>
      </c>
    </row>
    <row r="48" spans="1:5" ht="9" customHeight="1" x14ac:dyDescent="0.25">
      <c r="A48" s="63"/>
      <c r="B48" s="63"/>
      <c r="C48" s="62"/>
      <c r="D48" s="63"/>
      <c r="E48" s="63"/>
    </row>
    <row r="49" spans="1:5" ht="16.8" x14ac:dyDescent="0.3">
      <c r="A49" s="90" t="s">
        <v>34</v>
      </c>
      <c r="B49" s="92" t="str">
        <f>IF(ISBLANK(VLOOKUP("Thurs.#3-1",Previews!A9:F31,6,FALSE)),"",VLOOKUP("Thurs.#3-1",Previews!A9:F31,6,FALSE))</f>
        <v>&lt;ALD2 Name&gt;</v>
      </c>
      <c r="C49" s="92"/>
      <c r="D49" s="95"/>
      <c r="E49" s="95"/>
    </row>
    <row r="50" spans="1:5" ht="16.8" x14ac:dyDescent="0.3">
      <c r="A50" s="69" t="s">
        <v>35</v>
      </c>
      <c r="B50" s="92" t="str">
        <f>IF(ISBLANK(VLOOKUP("Thurs.#3-1",Previews!A9:G31,7,FALSE)),"",VLOOKUP("Thurs.#3-1",Previews!A9:G31,7,FALSE))</f>
        <v>&lt;ALD1 Name&gt;</v>
      </c>
      <c r="C50" s="92"/>
      <c r="D50" s="92" t="str">
        <f>IF(ISBLANK(VLOOKUP("Thurs.#3-2",Previews!A9:G31,7,FALSE)),"",VLOOKUP("Thurs.#3-2",Previews!A9:G31,7,FALSE))</f>
        <v>&lt;ALD3 Name&gt;</v>
      </c>
      <c r="E50" s="95"/>
    </row>
    <row r="51" spans="1:5" ht="9" customHeight="1" x14ac:dyDescent="0.3">
      <c r="A51" s="69"/>
      <c r="B51" s="92"/>
      <c r="C51" s="92"/>
      <c r="D51" s="95"/>
      <c r="E51" s="95"/>
    </row>
    <row r="52" spans="1:5" ht="16.8" x14ac:dyDescent="0.3">
      <c r="A52" s="69" t="s">
        <v>381</v>
      </c>
      <c r="B52" s="95"/>
      <c r="C52" s="95"/>
      <c r="D52" s="95"/>
      <c r="E52" s="95"/>
    </row>
    <row r="53" spans="1:5" ht="16.8" x14ac:dyDescent="0.3">
      <c r="A53" s="69" t="s">
        <v>380</v>
      </c>
      <c r="B53" s="95"/>
      <c r="C53" s="95"/>
      <c r="D53" s="95"/>
      <c r="E53" s="95"/>
    </row>
    <row r="54" spans="1:5" ht="9" customHeight="1" x14ac:dyDescent="0.3">
      <c r="A54" s="69"/>
      <c r="B54" s="95"/>
      <c r="C54" s="95"/>
      <c r="D54" s="95"/>
      <c r="E54" s="95"/>
    </row>
    <row r="55" spans="1:5" ht="16.8" x14ac:dyDescent="0.3">
      <c r="A55" s="69" t="s">
        <v>39</v>
      </c>
      <c r="B55" s="92" t="str">
        <f>+TeamInfo!F27</f>
        <v>&lt;LD Name&gt;</v>
      </c>
      <c r="C55" s="95"/>
      <c r="D55" s="95"/>
      <c r="E55" s="95"/>
    </row>
    <row r="56" spans="1:5" ht="16.8" x14ac:dyDescent="0.3">
      <c r="A56" s="105" t="s">
        <v>62</v>
      </c>
      <c r="B56" s="15"/>
    </row>
    <row r="57" spans="1:5" ht="16.8" x14ac:dyDescent="0.3">
      <c r="A57" s="105" t="str">
        <f>"  (Last mtg to let "&amp;+TeamInfo!F28&amp;" know if you would like to buy a copy of Sustaining the Spirit)"</f>
        <v xml:space="preserve">  (Last mtg to let &lt;ALD1 Name&gt; know if you would like to buy a copy of Sustaining the Spirit)</v>
      </c>
      <c r="B57" s="20"/>
    </row>
    <row r="58" spans="1:5" ht="16.8" x14ac:dyDescent="0.3">
      <c r="A58" s="105" t="s">
        <v>63</v>
      </c>
      <c r="B58" s="15"/>
    </row>
    <row r="59" spans="1:5" s="199" customFormat="1" ht="16.8" x14ac:dyDescent="0.3">
      <c r="A59" s="105" t="s">
        <v>431</v>
      </c>
      <c r="B59" s="15"/>
      <c r="E59" s="15"/>
    </row>
    <row r="60" spans="1:5" ht="16.8" x14ac:dyDescent="0.3">
      <c r="A60" s="105" t="s">
        <v>41</v>
      </c>
      <c r="B60" s="15"/>
    </row>
    <row r="61" spans="1:5" ht="16.8" x14ac:dyDescent="0.3">
      <c r="A61" s="105" t="s">
        <v>327</v>
      </c>
      <c r="B61" s="15"/>
    </row>
    <row r="62" spans="1:5" ht="16.8" x14ac:dyDescent="0.3">
      <c r="A62" s="105" t="s">
        <v>366</v>
      </c>
      <c r="B62" s="15"/>
    </row>
    <row r="63" spans="1:5" ht="16.8" x14ac:dyDescent="0.3">
      <c r="A63" s="105" t="s">
        <v>328</v>
      </c>
      <c r="B63" s="15"/>
    </row>
    <row r="64" spans="1:5" ht="16.8" x14ac:dyDescent="0.3">
      <c r="A64" s="105" t="s">
        <v>130</v>
      </c>
      <c r="B64" s="15"/>
    </row>
    <row r="65" spans="1:5" ht="16.8" x14ac:dyDescent="0.3">
      <c r="A65" s="105" t="s">
        <v>268</v>
      </c>
      <c r="B65" s="15"/>
    </row>
    <row r="66" spans="1:5" ht="16.8" x14ac:dyDescent="0.3">
      <c r="A66" s="105" t="str">
        <f>"Speakers - Final talk copies to "&amp;TeamInfo!E28&amp;" and Tech Directors within 2 weeks after preview"</f>
        <v>Speakers - Final talk copies to Arrears - ALD and Tech Directors within 2 weeks after preview</v>
      </c>
      <c r="B66" s="15"/>
    </row>
    <row r="67" spans="1:5" ht="9" customHeight="1" x14ac:dyDescent="0.3">
      <c r="A67" s="72"/>
      <c r="B67" s="15"/>
    </row>
    <row r="68" spans="1:5" ht="16.8" x14ac:dyDescent="0.3">
      <c r="A68" s="69" t="s">
        <v>44</v>
      </c>
      <c r="B68" s="15"/>
    </row>
    <row r="69" spans="1:5" ht="16.8" x14ac:dyDescent="0.3">
      <c r="A69" s="105" t="s">
        <v>3</v>
      </c>
      <c r="B69" s="92" t="str">
        <f>+Schedule!C23</f>
        <v>&lt;ATL3 Name&gt;</v>
      </c>
      <c r="C69" s="92"/>
      <c r="D69" s="92"/>
      <c r="E69" s="17"/>
    </row>
    <row r="70" spans="1:5" ht="16.8" x14ac:dyDescent="0.3">
      <c r="A70" s="105" t="s">
        <v>45</v>
      </c>
      <c r="B70" s="92" t="str">
        <f>+Schedule!D24</f>
        <v>&lt;TL5 Name&gt;</v>
      </c>
      <c r="C70" s="92"/>
      <c r="D70" s="92" t="str">
        <f>+Schedule!D26</f>
        <v>&lt;TL6 Name&gt;</v>
      </c>
      <c r="E70" s="17"/>
    </row>
    <row r="71" spans="1:5" ht="16.8" x14ac:dyDescent="0.3">
      <c r="A71" s="105" t="s">
        <v>46</v>
      </c>
      <c r="B71" s="103" t="str">
        <f>CONCATENATE("     "&amp;+Schedule!E23&amp;",  "&amp;+Schedule!E24&amp;",  "&amp;+Schedule!E25,IF(ISBLANK(Schedule!E26),"",",  "&amp;Schedule!E26))</f>
        <v xml:space="preserve">     &lt;TL3 Name&gt;,  &lt;TL4 Name&gt;,  &lt;ATL2 Name&gt;,  &lt;TD2 Name&gt;</v>
      </c>
      <c r="C71" s="92"/>
      <c r="D71" s="92"/>
      <c r="E71" s="17"/>
    </row>
    <row r="72" spans="1:5" ht="9" customHeight="1" x14ac:dyDescent="0.3">
      <c r="A72" s="72"/>
      <c r="B72" s="15"/>
    </row>
    <row r="73" spans="1:5" ht="16.8" x14ac:dyDescent="0.3">
      <c r="A73" s="69" t="s">
        <v>47</v>
      </c>
      <c r="B73" s="95"/>
      <c r="C73" s="95"/>
      <c r="D73" s="95"/>
    </row>
    <row r="74" spans="1:5" ht="16.8" x14ac:dyDescent="0.3">
      <c r="A74" s="69" t="s">
        <v>48</v>
      </c>
      <c r="B74" s="92" t="str">
        <f>+TeamInfo!F29</f>
        <v>&lt;ALD2 Name&gt;</v>
      </c>
      <c r="C74" s="95"/>
      <c r="D74" s="95"/>
    </row>
    <row r="76" spans="1:5" s="211" customFormat="1" ht="16.8" x14ac:dyDescent="0.3">
      <c r="A76" s="105" t="s">
        <v>444</v>
      </c>
      <c r="B76" s="222"/>
      <c r="C76" s="95"/>
      <c r="D76" s="95"/>
      <c r="E76" s="95"/>
    </row>
  </sheetData>
  <mergeCells count="8">
    <mergeCell ref="A34:E34"/>
    <mergeCell ref="A35:E35"/>
    <mergeCell ref="A36:E36"/>
    <mergeCell ref="D2:E2"/>
    <mergeCell ref="A1:E1"/>
    <mergeCell ref="A31:E31"/>
    <mergeCell ref="A32:E32"/>
    <mergeCell ref="A33:E33"/>
  </mergeCells>
  <phoneticPr fontId="6" type="noConversion"/>
  <pageMargins left="0.5" right="0.35" top="0.35" bottom="0.35" header="0.25" footer="0.25"/>
  <pageSetup orientation="portrait" r:id="rId1"/>
  <headerFooter alignWithMargins="0"/>
  <rowBreaks count="1" manualBreakCount="1">
    <brk id="50" max="4"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76E80B-55CF-4C38-8C9D-8C36CD95E67C}">
  <dimension ref="A1:F18"/>
  <sheetViews>
    <sheetView workbookViewId="0">
      <selection sqref="A1:E1"/>
    </sheetView>
  </sheetViews>
  <sheetFormatPr defaultRowHeight="13.2" x14ac:dyDescent="0.25"/>
  <cols>
    <col min="1" max="2" width="23.5546875" style="176" customWidth="1"/>
    <col min="3" max="3" width="2.33203125" style="176" customWidth="1"/>
    <col min="4" max="5" width="23.5546875" style="176" customWidth="1"/>
    <col min="6" max="16384" width="8.88671875" style="176"/>
  </cols>
  <sheetData>
    <row r="1" spans="1:6" s="104" customFormat="1" ht="18" x14ac:dyDescent="0.35">
      <c r="A1" s="257" t="str">
        <f>+"New-Ark Area Emmaus "&amp;TeamInfo!D5&amp;" "&amp;TeamInfo!D6</f>
        <v xml:space="preserve">New-Ark Area Emmaus Wo/Men's Walk #NN </v>
      </c>
      <c r="B1" s="257"/>
      <c r="C1" s="257"/>
      <c r="D1" s="257"/>
      <c r="E1" s="257"/>
    </row>
    <row r="2" spans="1:6" ht="17.399999999999999" x14ac:dyDescent="0.3">
      <c r="A2" s="178" t="s">
        <v>294</v>
      </c>
      <c r="B2" s="179"/>
      <c r="C2" s="179"/>
      <c r="D2" s="282">
        <f>+Schedule!B23</f>
        <v>36578</v>
      </c>
      <c r="E2" s="282"/>
    </row>
    <row r="3" spans="1:6" ht="6" customHeight="1" x14ac:dyDescent="0.25">
      <c r="A3" s="14"/>
    </row>
    <row r="4" spans="1:6" ht="16.8" x14ac:dyDescent="0.3">
      <c r="A4" s="181" t="s">
        <v>364</v>
      </c>
      <c r="B4" s="284" t="s">
        <v>394</v>
      </c>
      <c r="C4" s="284"/>
      <c r="D4" s="284"/>
      <c r="E4" s="284"/>
    </row>
    <row r="5" spans="1:6" ht="16.8" x14ac:dyDescent="0.3">
      <c r="A5" s="182" t="s">
        <v>3</v>
      </c>
      <c r="B5" s="92" t="str">
        <f>+Schedule!C23</f>
        <v>&lt;ATL3 Name&gt;</v>
      </c>
    </row>
    <row r="6" spans="1:6" ht="16.8" x14ac:dyDescent="0.3">
      <c r="A6" s="182" t="s">
        <v>279</v>
      </c>
      <c r="B6" s="103" t="str">
        <f>CONCATENATE("     "&amp;+Schedule!E23&amp;",  "&amp;+Schedule!E24&amp;",  "&amp;+Schedule!E25,IF(ISBLANK(Schedule!E26),"",",  "&amp;Schedule!E26))</f>
        <v xml:space="preserve">     &lt;TL3 Name&gt;,  &lt;TL4 Name&gt;,  &lt;ATL2 Name&gt;,  &lt;TD2 Name&gt;</v>
      </c>
      <c r="C6" s="92"/>
      <c r="D6" s="92"/>
      <c r="E6" s="92"/>
      <c r="F6" s="95"/>
    </row>
    <row r="7" spans="1:6" ht="16.8" x14ac:dyDescent="0.3">
      <c r="A7" s="182" t="s">
        <v>31</v>
      </c>
      <c r="B7" s="92" t="str">
        <f>+TeamInfo!F21</f>
        <v>&lt;SD Name&gt;</v>
      </c>
      <c r="C7" s="94"/>
      <c r="D7" s="94" t="str">
        <f>IF(ISBLANK(TeamInfo!F22),"",TeamInfo!F22)</f>
        <v>&lt;SD2 Name&gt;</v>
      </c>
    </row>
    <row r="8" spans="1:6" ht="16.2" customHeight="1" x14ac:dyDescent="0.3">
      <c r="A8" s="182" t="s">
        <v>33</v>
      </c>
      <c r="B8" s="181"/>
      <c r="C8" s="181"/>
      <c r="D8" s="181"/>
      <c r="E8" s="181"/>
    </row>
    <row r="9" spans="1:6" s="73" customFormat="1" ht="18" customHeight="1" x14ac:dyDescent="0.3">
      <c r="A9" s="186" t="str">
        <f>+Schedule!D23</f>
        <v>Discipleship</v>
      </c>
      <c r="B9" s="187" t="str">
        <f>+Schedule!D24</f>
        <v>&lt;TL5 Name&gt;</v>
      </c>
      <c r="C9" s="188" t="s">
        <v>20</v>
      </c>
      <c r="D9" s="186" t="str">
        <f>+Schedule!D25</f>
        <v>Changing Our World</v>
      </c>
      <c r="E9" s="187" t="str">
        <f>+Schedule!D26</f>
        <v>&lt;TL6 Name&gt;</v>
      </c>
    </row>
    <row r="10" spans="1:6" ht="16.8" x14ac:dyDescent="0.3">
      <c r="A10" s="182" t="s">
        <v>48</v>
      </c>
      <c r="B10" s="92" t="str">
        <f>+TeamInfo!F30</f>
        <v>&lt;ALD3 Name&gt;</v>
      </c>
      <c r="C10" s="95"/>
      <c r="D10" s="95"/>
      <c r="E10" s="95"/>
    </row>
    <row r="11" spans="1:6" ht="16.8" x14ac:dyDescent="0.3">
      <c r="A11" s="181"/>
      <c r="B11" s="92"/>
      <c r="C11" s="180"/>
      <c r="D11" s="75"/>
      <c r="E11" s="73"/>
    </row>
    <row r="12" spans="1:6" ht="16.8" x14ac:dyDescent="0.3">
      <c r="A12" s="181" t="s">
        <v>365</v>
      </c>
      <c r="B12" s="283" t="s">
        <v>395</v>
      </c>
      <c r="C12" s="283"/>
      <c r="D12" s="283"/>
      <c r="E12" s="283"/>
      <c r="F12" s="181"/>
    </row>
    <row r="13" spans="1:6" s="224" customFormat="1" ht="16.8" x14ac:dyDescent="0.3">
      <c r="A13" s="225"/>
      <c r="B13" s="283" t="s">
        <v>448</v>
      </c>
      <c r="C13" s="283"/>
      <c r="D13" s="283"/>
      <c r="E13" s="283"/>
      <c r="F13" s="225"/>
    </row>
    <row r="14" spans="1:6" ht="16.8" customHeight="1" x14ac:dyDescent="0.3">
      <c r="A14" s="14"/>
      <c r="B14" s="283" t="s">
        <v>390</v>
      </c>
      <c r="C14" s="283"/>
      <c r="D14" s="283"/>
      <c r="E14" s="283"/>
    </row>
    <row r="15" spans="1:6" ht="16.8" x14ac:dyDescent="0.3">
      <c r="A15" s="73"/>
      <c r="B15" s="283" t="s">
        <v>393</v>
      </c>
      <c r="C15" s="283"/>
      <c r="D15" s="283"/>
      <c r="E15" s="283"/>
    </row>
    <row r="16" spans="1:6" ht="16.8" x14ac:dyDescent="0.3">
      <c r="B16" s="181" t="s">
        <v>391</v>
      </c>
      <c r="C16" s="181"/>
      <c r="D16" s="181"/>
      <c r="E16" s="181"/>
    </row>
    <row r="17" spans="2:5" ht="16.8" x14ac:dyDescent="0.3">
      <c r="B17" s="283" t="s">
        <v>375</v>
      </c>
      <c r="C17" s="283"/>
      <c r="D17" s="283"/>
      <c r="E17" s="283"/>
    </row>
    <row r="18" spans="2:5" ht="16.8" x14ac:dyDescent="0.3">
      <c r="B18" s="283" t="s">
        <v>416</v>
      </c>
      <c r="C18" s="283"/>
      <c r="D18" s="283"/>
      <c r="E18" s="283"/>
    </row>
  </sheetData>
  <mergeCells count="9">
    <mergeCell ref="B15:E15"/>
    <mergeCell ref="B17:E17"/>
    <mergeCell ref="B18:E18"/>
    <mergeCell ref="A1:E1"/>
    <mergeCell ref="D2:E2"/>
    <mergeCell ref="B4:E4"/>
    <mergeCell ref="B12:E12"/>
    <mergeCell ref="B13:E13"/>
    <mergeCell ref="B14:E14"/>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74"/>
  <sheetViews>
    <sheetView workbookViewId="0">
      <selection sqref="A1:E1"/>
    </sheetView>
  </sheetViews>
  <sheetFormatPr defaultRowHeight="13.2" x14ac:dyDescent="0.25"/>
  <cols>
    <col min="1" max="2" width="23.5546875" customWidth="1"/>
    <col min="3" max="3" width="2.33203125" customWidth="1"/>
    <col min="4" max="4" width="23.5546875" customWidth="1"/>
    <col min="5" max="5" width="24.44140625" customWidth="1"/>
  </cols>
  <sheetData>
    <row r="1" spans="1:5" ht="17.399999999999999" x14ac:dyDescent="0.3">
      <c r="A1" s="257" t="str">
        <f>+"New-Ark Area Emmaus "&amp;TeamInfo!D5&amp;" "&amp;TeamInfo!D6</f>
        <v xml:space="preserve">New-Ark Area Emmaus Wo/Men's Walk #NN </v>
      </c>
      <c r="B1" s="257"/>
      <c r="C1" s="257"/>
      <c r="D1" s="257"/>
      <c r="E1" s="257"/>
    </row>
    <row r="2" spans="1:5" ht="17.399999999999999" x14ac:dyDescent="0.3">
      <c r="A2" s="68" t="s">
        <v>294</v>
      </c>
      <c r="B2" s="21"/>
      <c r="C2" s="21"/>
      <c r="D2" s="282">
        <f>+Schedule!B23</f>
        <v>36578</v>
      </c>
      <c r="E2" s="282"/>
    </row>
    <row r="3" spans="1:5" ht="6" customHeight="1" x14ac:dyDescent="0.25">
      <c r="A3" s="14"/>
    </row>
    <row r="4" spans="1:5" ht="16.8" x14ac:dyDescent="0.3">
      <c r="A4" s="69" t="s">
        <v>27</v>
      </c>
      <c r="B4" s="74" t="s">
        <v>26</v>
      </c>
    </row>
    <row r="5" spans="1:5" ht="16.8" x14ac:dyDescent="0.3">
      <c r="A5" s="69" t="s">
        <v>3</v>
      </c>
      <c r="B5" s="92" t="str">
        <f>+Schedule!C23</f>
        <v>&lt;ATL3 Name&gt;</v>
      </c>
    </row>
    <row r="6" spans="1:5" ht="16.8" x14ac:dyDescent="0.3">
      <c r="A6" s="69" t="s">
        <v>279</v>
      </c>
      <c r="B6" s="103" t="str">
        <f>CONCATENATE("     "&amp;+Schedule!E23&amp;",  "&amp;+Schedule!E24&amp;",  "&amp;+Schedule!E25,IF(ISBLANK(Schedule!E26),"",",  "&amp;Schedule!E26))</f>
        <v xml:space="preserve">     &lt;TL3 Name&gt;,  &lt;TL4 Name&gt;,  &lt;ATL2 Name&gt;,  &lt;TD2 Name&gt;</v>
      </c>
      <c r="C6" s="92"/>
      <c r="D6" s="92"/>
      <c r="E6" s="17"/>
    </row>
    <row r="7" spans="1:5" ht="16.8" x14ac:dyDescent="0.3">
      <c r="A7" s="69" t="s">
        <v>25</v>
      </c>
    </row>
    <row r="8" spans="1:5" ht="16.8" x14ac:dyDescent="0.3">
      <c r="A8" s="69" t="s">
        <v>28</v>
      </c>
      <c r="B8" s="1"/>
    </row>
    <row r="9" spans="1:5" ht="16.8" x14ac:dyDescent="0.3">
      <c r="A9" s="69" t="s">
        <v>29</v>
      </c>
      <c r="B9" s="92" t="str">
        <f>+TeamInfo!F27</f>
        <v>&lt;LD Name&gt;</v>
      </c>
      <c r="C9" s="69" t="s">
        <v>446</v>
      </c>
      <c r="D9" s="69"/>
      <c r="E9" s="69"/>
    </row>
    <row r="10" spans="1:5" ht="16.8" x14ac:dyDescent="0.3">
      <c r="A10" s="69"/>
      <c r="B10" s="17"/>
      <c r="C10" s="69"/>
      <c r="D10" s="69" t="s">
        <v>449</v>
      </c>
      <c r="E10" s="69"/>
    </row>
    <row r="11" spans="1:5" ht="16.8" x14ac:dyDescent="0.3">
      <c r="A11" s="69"/>
      <c r="B11" s="17"/>
      <c r="C11" s="69"/>
      <c r="D11" s="69" t="s">
        <v>285</v>
      </c>
    </row>
    <row r="12" spans="1:5" ht="9" customHeight="1" x14ac:dyDescent="0.3">
      <c r="A12" s="69"/>
      <c r="B12" s="17"/>
      <c r="C12" s="69"/>
      <c r="D12" s="69"/>
    </row>
    <row r="13" spans="1:5" ht="16.8" x14ac:dyDescent="0.3">
      <c r="A13" s="69" t="s">
        <v>24</v>
      </c>
      <c r="B13" s="95"/>
      <c r="C13" s="69"/>
      <c r="D13" s="69"/>
      <c r="E13" s="69"/>
    </row>
    <row r="14" spans="1:5" ht="16.8" x14ac:dyDescent="0.3">
      <c r="A14" s="69" t="s">
        <v>36</v>
      </c>
      <c r="B14" s="92" t="str">
        <f>+TeamInfo!F28</f>
        <v>&lt;ALD1 Name&gt;</v>
      </c>
      <c r="C14" s="69" t="s">
        <v>282</v>
      </c>
      <c r="D14" s="69"/>
      <c r="E14" s="69"/>
    </row>
    <row r="15" spans="1:5" ht="16.8" x14ac:dyDescent="0.3">
      <c r="A15" s="69" t="s">
        <v>281</v>
      </c>
      <c r="B15" s="92" t="str">
        <f>+TeamInfo!F28</f>
        <v>&lt;ALD1 Name&gt;</v>
      </c>
      <c r="C15" s="69" t="s">
        <v>436</v>
      </c>
      <c r="D15" s="69"/>
      <c r="E15" s="69"/>
    </row>
    <row r="16" spans="1:5" ht="16.8" x14ac:dyDescent="0.3">
      <c r="A16" s="69" t="s">
        <v>37</v>
      </c>
      <c r="B16" s="92" t="str">
        <f>+TeamInfo!F29</f>
        <v>&lt;ALD2 Name&gt;</v>
      </c>
      <c r="C16" s="69"/>
      <c r="D16" s="69"/>
      <c r="E16" s="69"/>
    </row>
    <row r="17" spans="1:6" ht="6" customHeight="1" x14ac:dyDescent="0.3">
      <c r="A17" s="69"/>
      <c r="B17" s="92"/>
      <c r="C17" s="69"/>
      <c r="D17" s="69"/>
      <c r="E17" s="69"/>
    </row>
    <row r="18" spans="1:6" ht="16.8" x14ac:dyDescent="0.3">
      <c r="A18" s="69" t="s">
        <v>331</v>
      </c>
      <c r="B18" s="92" t="str">
        <f>+TeamInfo!$F$30</f>
        <v>&lt;ALD3 Name&gt;</v>
      </c>
      <c r="C18" s="135" t="s">
        <v>439</v>
      </c>
      <c r="D18" s="135"/>
      <c r="E18" s="135"/>
      <c r="F18" s="69"/>
    </row>
    <row r="19" spans="1:6" ht="16.8" x14ac:dyDescent="0.3">
      <c r="A19" s="69" t="s">
        <v>329</v>
      </c>
      <c r="B19" s="92"/>
      <c r="C19" s="109" t="s">
        <v>367</v>
      </c>
      <c r="D19" s="69"/>
      <c r="E19" s="69"/>
      <c r="F19" s="69"/>
    </row>
    <row r="20" spans="1:6" ht="16.8" x14ac:dyDescent="0.3">
      <c r="A20" s="69"/>
      <c r="B20" s="92"/>
      <c r="C20" s="69" t="s">
        <v>330</v>
      </c>
      <c r="D20" s="69"/>
      <c r="E20" s="69"/>
      <c r="F20" s="69"/>
    </row>
    <row r="21" spans="1:6" ht="6" customHeight="1" x14ac:dyDescent="0.3">
      <c r="A21" s="73"/>
      <c r="B21" s="95"/>
      <c r="C21" s="69"/>
      <c r="D21" s="69"/>
      <c r="E21" s="69"/>
      <c r="F21" s="69"/>
    </row>
    <row r="22" spans="1:6" ht="16.8" x14ac:dyDescent="0.3">
      <c r="A22" s="69" t="s">
        <v>126</v>
      </c>
      <c r="B22" s="92" t="str">
        <f>+TeamInfo!$F$32</f>
        <v>&lt;TD Name&gt;</v>
      </c>
      <c r="C22" s="69"/>
      <c r="D22" s="92" t="str">
        <f>IF(ISBLANK(TeamInfo!$F$33),"",TeamInfo!$F$33)</f>
        <v>&lt;TD2 Name&gt;</v>
      </c>
      <c r="E22" s="69"/>
      <c r="F22" s="69"/>
    </row>
    <row r="23" spans="1:6" s="95" customFormat="1" ht="16.8" x14ac:dyDescent="0.3">
      <c r="A23" s="69" t="str">
        <f>"     Email talk to "&amp;TeamInfo!$D$9&amp;"td@new-arkemmaus.org with copy to "&amp;TeamInfo!$D$9&amp;"ld@new-arkemmaus.org"</f>
        <v xml:space="preserve">     Email talk to mwtd@new-arkemmaus.org with copy to mwld@new-arkemmaus.org</v>
      </c>
      <c r="B23" s="69"/>
      <c r="C23" s="69"/>
      <c r="D23" s="69"/>
      <c r="E23" s="69"/>
    </row>
    <row r="24" spans="1:6" ht="6" customHeight="1" x14ac:dyDescent="0.3">
      <c r="A24" s="71"/>
    </row>
    <row r="25" spans="1:6" ht="16.8" x14ac:dyDescent="0.3">
      <c r="A25" s="90" t="s">
        <v>284</v>
      </c>
      <c r="B25" s="92" t="str">
        <f>+TeamInfo!F29</f>
        <v>&lt;ALD2 Name&gt;</v>
      </c>
      <c r="C25" s="200" t="s">
        <v>432</v>
      </c>
      <c r="D25" s="200"/>
      <c r="E25" s="200"/>
    </row>
    <row r="26" spans="1:6" ht="6" customHeight="1" x14ac:dyDescent="0.3">
      <c r="A26" s="90"/>
      <c r="B26" s="92"/>
      <c r="C26" s="95"/>
      <c r="D26" s="95"/>
    </row>
    <row r="27" spans="1:6" ht="16.8" x14ac:dyDescent="0.3">
      <c r="A27" s="69" t="s">
        <v>31</v>
      </c>
      <c r="B27" s="92" t="str">
        <f>+TeamInfo!F21</f>
        <v>&lt;SD Name&gt;</v>
      </c>
      <c r="C27" s="92"/>
      <c r="D27" s="92" t="str">
        <f>IF(ISBLANK(TeamInfo!F22),"",TeamInfo!F22)</f>
        <v>&lt;SD2 Name&gt;</v>
      </c>
    </row>
    <row r="28" spans="1:6" ht="6" customHeight="1" x14ac:dyDescent="0.3">
      <c r="A28" s="90"/>
      <c r="B28" s="92"/>
      <c r="C28" s="95"/>
      <c r="D28" s="95"/>
    </row>
    <row r="29" spans="1:6" ht="16.8" x14ac:dyDescent="0.3">
      <c r="A29" s="69" t="s">
        <v>32</v>
      </c>
      <c r="B29" s="92" t="str">
        <f>+TeamInfo!F34</f>
        <v>&lt;MD Name&gt;</v>
      </c>
      <c r="C29" s="92"/>
      <c r="D29" s="92" t="str">
        <f>IF(ISBLANK(TeamInfo!F35),"",TeamInfo!F35)</f>
        <v>&lt;MD2 Name&gt;</v>
      </c>
    </row>
    <row r="30" spans="1:6" ht="9" customHeight="1" x14ac:dyDescent="0.3">
      <c r="A30" s="73"/>
    </row>
    <row r="31" spans="1:6" s="73" customFormat="1" ht="16.8" x14ac:dyDescent="0.3">
      <c r="A31" s="69" t="s">
        <v>33</v>
      </c>
      <c r="B31" s="69" t="s">
        <v>107</v>
      </c>
      <c r="C31" s="69"/>
      <c r="D31" s="69"/>
      <c r="E31" s="69"/>
    </row>
    <row r="32" spans="1:6" s="73" customFormat="1" ht="16.8" x14ac:dyDescent="0.3">
      <c r="A32" s="285" t="s">
        <v>108</v>
      </c>
      <c r="B32" s="285"/>
      <c r="C32" s="285"/>
      <c r="D32" s="285"/>
      <c r="E32" s="285"/>
    </row>
    <row r="33" spans="1:5" s="73" customFormat="1" ht="16.8" x14ac:dyDescent="0.3">
      <c r="A33" s="285" t="s">
        <v>274</v>
      </c>
      <c r="B33" s="285"/>
      <c r="C33" s="285"/>
      <c r="D33" s="285"/>
      <c r="E33" s="285"/>
    </row>
    <row r="34" spans="1:5" s="73" customFormat="1" ht="16.8" x14ac:dyDescent="0.3">
      <c r="A34" s="285" t="s">
        <v>109</v>
      </c>
      <c r="B34" s="285"/>
      <c r="C34" s="285"/>
      <c r="D34" s="285"/>
      <c r="E34" s="285"/>
    </row>
    <row r="35" spans="1:5" s="73" customFormat="1" ht="16.8" x14ac:dyDescent="0.3">
      <c r="A35" s="285" t="s">
        <v>110</v>
      </c>
      <c r="B35" s="285"/>
      <c r="C35" s="285"/>
      <c r="D35" s="285"/>
      <c r="E35" s="285"/>
    </row>
    <row r="36" spans="1:5" ht="16.8" x14ac:dyDescent="0.25">
      <c r="A36" s="285" t="s">
        <v>347</v>
      </c>
      <c r="B36" s="285"/>
      <c r="C36" s="285"/>
      <c r="D36" s="285"/>
      <c r="E36" s="285"/>
    </row>
    <row r="37" spans="1:5" s="73" customFormat="1" ht="16.8" x14ac:dyDescent="0.3">
      <c r="A37" s="283" t="s">
        <v>275</v>
      </c>
      <c r="B37" s="283"/>
      <c r="C37" s="283"/>
      <c r="D37" s="283"/>
      <c r="E37" s="283"/>
    </row>
    <row r="38" spans="1:5" s="73" customFormat="1" ht="9" customHeight="1" thickBot="1" x14ac:dyDescent="0.35">
      <c r="A38" s="109"/>
    </row>
    <row r="39" spans="1:5" s="75" customFormat="1" ht="25.2" customHeight="1" thickBot="1" x14ac:dyDescent="0.3">
      <c r="A39" s="204" t="str">
        <f>+Schedule!D23</f>
        <v>Discipleship</v>
      </c>
      <c r="B39" s="209" t="str">
        <f>+Schedule!D24</f>
        <v>&lt;TL5 Name&gt;</v>
      </c>
      <c r="C39" s="206" t="s">
        <v>20</v>
      </c>
      <c r="D39" s="207" t="str">
        <f>+Schedule!D25</f>
        <v>Changing Our World</v>
      </c>
      <c r="E39" s="210" t="str">
        <f>+Schedule!D26</f>
        <v>&lt;TL6 Name&gt;</v>
      </c>
    </row>
    <row r="40" spans="1:5" s="73" customFormat="1" ht="15" customHeight="1" x14ac:dyDescent="0.3">
      <c r="A40" s="80" t="s">
        <v>21</v>
      </c>
      <c r="B40" s="77" t="str">
        <f>IF(ISBLANK(VLOOKUP("Thurs.#4-1",Previews!A9:E31,5,FALSE)),"",VLOOKUP("Thurs.#4-1",Previews!A9:E31,5,FALSE))</f>
        <v>&lt;ATL5 Name&gt;</v>
      </c>
      <c r="C40" s="81"/>
      <c r="D40" s="82" t="s">
        <v>21</v>
      </c>
      <c r="E40" s="83" t="str">
        <f>IF(ISBLANK(VLOOKUP("Thurs.#4-2",Previews!A9:E31,5,FALSE)),"",VLOOKUP("Thurs.#4-2",Previews!A9:E31,5,FALSE))</f>
        <v>&lt;TL7 Name&gt;</v>
      </c>
    </row>
    <row r="41" spans="1:5" s="73" customFormat="1" ht="16.8" x14ac:dyDescent="0.3">
      <c r="A41" s="82" t="s">
        <v>162</v>
      </c>
      <c r="B41" s="78" t="str">
        <f>IF(ISBLANK(VLOOKUP("Thurs.#4-1",Previews!A9:C31,3,FALSE)),"",VLOOKUP("Thurs.#4-1",Previews!A9:C31,3,FALSE))</f>
        <v>Pp. 29, 73</v>
      </c>
      <c r="C41" s="81"/>
      <c r="D41" s="82" t="s">
        <v>162</v>
      </c>
      <c r="E41" s="78" t="str">
        <f>IF(ISBLANK(VLOOKUP("Thurs.#4-2",Previews!A9:C31,3,FALSE)),"",VLOOKUP("Thurs.#4-2",Previews!A9:C31,3,FALSE))</f>
        <v>Pp. 36, 73</v>
      </c>
    </row>
    <row r="42" spans="1:5" s="73" customFormat="1" ht="16.8" x14ac:dyDescent="0.3">
      <c r="A42" s="82" t="s">
        <v>200</v>
      </c>
      <c r="B42" s="84" t="s">
        <v>22</v>
      </c>
      <c r="C42" s="85"/>
      <c r="D42" s="82" t="s">
        <v>200</v>
      </c>
      <c r="E42" s="84" t="s">
        <v>23</v>
      </c>
    </row>
    <row r="43" spans="1:5" s="73" customFormat="1" ht="16.8" x14ac:dyDescent="0.3">
      <c r="A43" s="86" t="str">
        <f>IF(ISBLANK(VLOOKUP("Thurs.#4-1",Previews!$A$9:$G$31,7,FALSE)),"",VLOOKUP("Thurs.#4-1",Previews!$A$9:$G$31,7,FALSE))</f>
        <v>&lt;ALD1 Name&gt;</v>
      </c>
      <c r="B43" s="83" t="str">
        <f>IF(ISBLANK(VLOOKUP("Thurs.#4-1",Previews!$A$9:$H$31,8,FALSE)),"",VLOOKUP("Thurs.#4-1",Previews!$A$9:$H$31,8,FALSE))</f>
        <v>&lt;ALD3 Name&gt;</v>
      </c>
      <c r="C43" s="85"/>
      <c r="D43" s="86" t="str">
        <f>IF(ISBLANK(VLOOKUP("Thurs.#4-2",Previews!$A$9:$G$31,7,FALSE)),"",VLOOKUP("Thurs.#4-2",Previews!$A$9:$G$31,7,FALSE))</f>
        <v>&lt;ALD2 Name&gt;</v>
      </c>
      <c r="E43" s="83" t="str">
        <f>IF(ISBLANK(VLOOKUP("Thurs.#4-2",Previews!$A$9:$H$31,8,FALSE)),"",VLOOKUP("Thurs.#4-2",Previews!$A$9:$H$31,8,FALSE))</f>
        <v>&lt;LD Name&gt;</v>
      </c>
    </row>
    <row r="44" spans="1:5" s="73" customFormat="1" ht="15.75" customHeight="1" x14ac:dyDescent="0.3">
      <c r="A44" s="86" t="str">
        <f>IF(ISBLANK(VLOOKUP("Thurs.#4-1",Previews!$A$9:$I$31,9,FALSE)),"",VLOOKUP("Thurs.#4-1",Previews!$A$9:$I$31,9,FALSE))</f>
        <v>&lt;ATL1 Name&gt;</v>
      </c>
      <c r="B44" s="83" t="str">
        <f>IF(ISBLANK(VLOOKUP("Thurs.#4-1",Previews!$A$9:$J$31,10,FALSE)),"",VLOOKUP("Thurs.#4-1",Previews!$A$9:$J$31,10,FALSE))</f>
        <v>&lt;ATL2 Name&gt;</v>
      </c>
      <c r="C44" s="85"/>
      <c r="D44" s="86" t="str">
        <f>IF(ISBLANK(VLOOKUP("Thurs.#4-2",Previews!$A$9:$I$31,9,FALSE)),"",VLOOKUP("Thurs.#4-2",Previews!$A$9:$I$31,9,FALSE))</f>
        <v>&lt;TL1 Name&gt;</v>
      </c>
      <c r="E44" s="83" t="str">
        <f>IF(ISBLANK(VLOOKUP("Thurs.#4-2",Previews!$A$9:$J$31,10,FALSE)),"",VLOOKUP("Thurs.#4-2",Previews!$A$9:$J$31,10,FALSE))</f>
        <v>&lt;TL2 Name&gt;</v>
      </c>
    </row>
    <row r="45" spans="1:5" s="73" customFormat="1" ht="16.5" customHeight="1" x14ac:dyDescent="0.3">
      <c r="A45" s="86" t="str">
        <f>IF(ISBLANK(VLOOKUP("Thurs.#4-1",Previews!$A$9:$K$31,11,FALSE)),"",VLOOKUP("Thurs.#4-1",Previews!$A$9:$K$31,11,FALSE))</f>
        <v>&lt;TL3 Name&gt;</v>
      </c>
      <c r="B45" s="83" t="str">
        <f>IF(ISBLANK(VLOOKUP("Thurs.#4-1",Previews!$A$9:$L$31,12,FALSE)),"",VLOOKUP("Thurs.#4-1",Previews!$A$9:$L$31,12,FALSE))</f>
        <v>&lt;TL4 Name&gt;</v>
      </c>
      <c r="C45" s="85"/>
      <c r="D45" s="86" t="str">
        <f>IF(ISBLANK(VLOOKUP("Thurs.#4-2",Previews!$A$9:$K$31,11,FALSE)),"",VLOOKUP("Thurs.#4-2",Previews!$A$9:$K$31,11,FALSE))</f>
        <v>&lt;ATL3 Name&gt;</v>
      </c>
      <c r="E45" s="83" t="str">
        <f>IF(ISBLANK(VLOOKUP("Thurs.#4-2",Previews!$A$9:$L$31,12,FALSE)),"",VLOOKUP("Thurs.#4-2",Previews!$A$9:$L$31,12,FALSE))</f>
        <v>&lt;ATL4 Name&gt;</v>
      </c>
    </row>
    <row r="46" spans="1:5" s="73" customFormat="1" ht="14.25" customHeight="1" x14ac:dyDescent="0.3">
      <c r="A46" s="86" t="str">
        <f>IF(ISBLANK(VLOOKUP("Thurs.#4-1",Previews!$A$9:$M$31,13,FALSE)),"",VLOOKUP("Thurs.#4-1",Previews!$A$9:$M$31,13,FALSE))</f>
        <v/>
      </c>
      <c r="B46" s="83" t="str">
        <f>IF(ISBLANK(VLOOKUP("Thurs.#4-1",Previews!$A$9:$N$31,14,FALSE)),"",VLOOKUP("Thurs.#4-1",Previews!$A$9:$N$31,14,FALSE))</f>
        <v/>
      </c>
      <c r="C46" s="87"/>
      <c r="D46" s="86" t="str">
        <f>IF(ISBLANK(VLOOKUP("Thurs.#4-2",Previews!$A$9:$M$31,13,FALSE)),"",VLOOKUP("Thurs.#4-2",Previews!$A$9:$M$31,13,FALSE))</f>
        <v/>
      </c>
      <c r="E46" s="83" t="str">
        <f>IF(ISBLANK(VLOOKUP("Thurs.#4-2",Previews!$A$9:$N$31,14,FALSE)),"",VLOOKUP("Thurs.#4-2",Previews!$A$9:$N$31,14,FALSE))</f>
        <v/>
      </c>
    </row>
    <row r="47" spans="1:5" s="73" customFormat="1" ht="15" customHeight="1" x14ac:dyDescent="0.3">
      <c r="A47" s="86" t="str">
        <f>IF(ISBLANK(VLOOKUP("Thurs.#4-1",Previews!$A$9:$O$31,15,FALSE)),"",VLOOKUP("Thurs.#4-1",Previews!$A$9:$O$31,15,FALSE))</f>
        <v>&lt;TD Name&gt;</v>
      </c>
      <c r="B47" s="83" t="str">
        <f>IF(ISBLANK(VLOOKUP("Thurs.#4-1",Previews!$A$9:$P$31,16,FALSE)),"",VLOOKUP("Thurs.#4-1",Previews!$A$9:$P$31,16,FALSE))</f>
        <v>&lt;SD Name&gt;</v>
      </c>
      <c r="C47" s="87"/>
      <c r="D47" s="86" t="str">
        <f>IF(ISBLANK(VLOOKUP("Thurs.#4-2",Previews!$A$9:$O$31,15,FALSE)),"",VLOOKUP("Thurs.#4-2",Previews!$A$9:$O$31,15,FALSE))</f>
        <v>&lt;BR Name&gt;</v>
      </c>
      <c r="E47" s="83" t="str">
        <f>IF(ISBLANK(VLOOKUP("Thurs.#4-2",Previews!$A$9:$P$31,16,FALSE)),"",VLOOKUP("Thurs.#4-2",Previews!$A$9:$P$31,16,FALSE))</f>
        <v>&lt;MD Name&gt;</v>
      </c>
    </row>
    <row r="48" spans="1:5" s="73" customFormat="1" ht="15" customHeight="1" thickBot="1" x14ac:dyDescent="0.35">
      <c r="A48" s="88" t="str">
        <f>IF(ISBLANK(VLOOKUP("Thurs.#4-1",Previews!$A$9:$Q$31,17,FALSE)),"",VLOOKUP("Thurs.#4-1",Previews!$A$9:$Q$31,17,FALSE))</f>
        <v>&lt;MD2 Name&gt;</v>
      </c>
      <c r="B48" s="89" t="str">
        <f>IF(ISBLANK(VLOOKUP("Thurs.#4-1",Previews!$A$9:$R$31,18,FALSE)),"",VLOOKUP("Thurs.#4-1",Previews!$A$9:$R$31,18,FALSE))</f>
        <v/>
      </c>
      <c r="C48" s="85"/>
      <c r="D48" s="88" t="str">
        <f>IF(ISBLANK(VLOOKUP("Thurs.#4-2",Previews!$A$9:$Q$31,17,FALSE)),"",VLOOKUP("Thurs.#4-2",Previews!$A$9:$Q$31,17,FALSE))</f>
        <v>&lt;SD2 Name&gt;</v>
      </c>
      <c r="E48" s="89" t="str">
        <f>IF(ISBLANK(VLOOKUP("Thurs.#4-2",Previews!$A$9:$R$31,18,FALSE)),"",VLOOKUP("Thurs.#4-2",Previews!$A$9:$R$31,18,FALSE))</f>
        <v>&lt;TD2 Name&gt;</v>
      </c>
    </row>
    <row r="49" spans="1:5" ht="9" customHeight="1" x14ac:dyDescent="0.25">
      <c r="A49" s="63"/>
      <c r="B49" s="63"/>
      <c r="C49" s="62"/>
      <c r="D49" s="63"/>
      <c r="E49" s="63"/>
    </row>
    <row r="50" spans="1:5" ht="16.8" x14ac:dyDescent="0.3">
      <c r="A50" s="90" t="s">
        <v>34</v>
      </c>
      <c r="B50" s="92" t="str">
        <f>IF(ISBLANK(VLOOKUP("Thurs.#4-1",Previews!A9:F31,6,FALSE)),"",VLOOKUP("Thurs.#4-1",Previews!A9:F31,6,FALSE))</f>
        <v>&lt;ALD3 Name&gt;</v>
      </c>
      <c r="C50" s="92"/>
      <c r="D50" s="95"/>
      <c r="E50" s="95"/>
    </row>
    <row r="51" spans="1:5" ht="16.8" x14ac:dyDescent="0.3">
      <c r="A51" s="69" t="s">
        <v>35</v>
      </c>
      <c r="B51" s="92" t="str">
        <f>IF(ISBLANK(VLOOKUP("Thurs.#4-1",Previews!A9:G31,7,FALSE)),"",VLOOKUP("Thurs.#4-1",Previews!A9:G31,7,FALSE))</f>
        <v>&lt;ALD1 Name&gt;</v>
      </c>
      <c r="C51" s="92"/>
      <c r="D51" s="92" t="str">
        <f>IF(ISBLANK(VLOOKUP("Thurs.#4-2",Previews!A9:G31,7,FALSE)),"",VLOOKUP("Thurs.#4-2",Previews!A9:G31,7,FALSE))</f>
        <v>&lt;ALD2 Name&gt;</v>
      </c>
      <c r="E51" s="95"/>
    </row>
    <row r="52" spans="1:5" ht="9" customHeight="1" x14ac:dyDescent="0.3">
      <c r="A52" s="69"/>
      <c r="B52" s="17"/>
      <c r="C52" s="17"/>
    </row>
    <row r="53" spans="1:5" s="168" customFormat="1" ht="16.8" x14ac:dyDescent="0.3">
      <c r="A53" s="172" t="s">
        <v>381</v>
      </c>
      <c r="B53" s="95"/>
      <c r="C53" s="95"/>
      <c r="D53" s="95"/>
      <c r="E53" s="95"/>
    </row>
    <row r="54" spans="1:5" ht="16.8" x14ac:dyDescent="0.3">
      <c r="A54" s="69" t="s">
        <v>61</v>
      </c>
    </row>
    <row r="55" spans="1:5" ht="9" customHeight="1" x14ac:dyDescent="0.3">
      <c r="A55" s="69"/>
    </row>
    <row r="56" spans="1:5" ht="16.8" x14ac:dyDescent="0.3">
      <c r="A56" s="69" t="s">
        <v>39</v>
      </c>
      <c r="B56" s="92" t="str">
        <f>+TeamInfo!F27</f>
        <v>&lt;LD Name&gt;</v>
      </c>
    </row>
    <row r="57" spans="1:5" ht="16.8" x14ac:dyDescent="0.3">
      <c r="A57" s="105" t="s">
        <v>60</v>
      </c>
      <c r="B57" s="15"/>
    </row>
    <row r="58" spans="1:5" s="199" customFormat="1" ht="16.8" x14ac:dyDescent="0.3">
      <c r="A58" s="105" t="s">
        <v>433</v>
      </c>
      <c r="B58" s="15"/>
      <c r="E58" s="15"/>
    </row>
    <row r="59" spans="1:5" ht="16.8" x14ac:dyDescent="0.3">
      <c r="A59" s="105" t="s">
        <v>269</v>
      </c>
      <c r="B59" s="15"/>
    </row>
    <row r="60" spans="1:5" ht="16.8" x14ac:dyDescent="0.3">
      <c r="A60" s="105" t="s">
        <v>41</v>
      </c>
      <c r="B60" s="15"/>
    </row>
    <row r="61" spans="1:5" ht="16.8" x14ac:dyDescent="0.3">
      <c r="A61" s="105" t="s">
        <v>327</v>
      </c>
      <c r="B61" s="15"/>
    </row>
    <row r="62" spans="1:5" ht="16.8" x14ac:dyDescent="0.3">
      <c r="A62" s="105" t="s">
        <v>366</v>
      </c>
      <c r="B62" s="15"/>
    </row>
    <row r="63" spans="1:5" ht="16.8" x14ac:dyDescent="0.3">
      <c r="A63" s="105" t="s">
        <v>328</v>
      </c>
      <c r="B63" s="15"/>
    </row>
    <row r="64" spans="1:5" ht="16.8" x14ac:dyDescent="0.3">
      <c r="A64" s="105" t="str">
        <f>"Speakers - Final talk copies to "&amp;TeamInfo!F28&amp;" and TDs no later than the last team meeting"</f>
        <v>Speakers - Final talk copies to &lt;ALD1 Name&gt; and TDs no later than the last team meeting</v>
      </c>
      <c r="B64" s="15"/>
    </row>
    <row r="65" spans="1:5" ht="9" customHeight="1" x14ac:dyDescent="0.3">
      <c r="A65" s="69"/>
    </row>
    <row r="66" spans="1:5" ht="16.8" x14ac:dyDescent="0.3">
      <c r="A66" s="69" t="s">
        <v>44</v>
      </c>
      <c r="B66" s="15"/>
    </row>
    <row r="67" spans="1:5" ht="16.8" x14ac:dyDescent="0.3">
      <c r="A67" s="105" t="s">
        <v>3</v>
      </c>
      <c r="B67" s="92" t="str">
        <f>+Schedule!C27</f>
        <v>&lt;ATL4 Name&gt;</v>
      </c>
      <c r="C67" s="92"/>
      <c r="D67" s="92"/>
      <c r="E67" s="92"/>
    </row>
    <row r="68" spans="1:5" ht="16.8" x14ac:dyDescent="0.3">
      <c r="A68" s="105" t="s">
        <v>45</v>
      </c>
      <c r="B68" s="92" t="str">
        <f>+Schedule!D28</f>
        <v>&lt;TL7 Name&gt;</v>
      </c>
      <c r="C68" s="92"/>
      <c r="D68" s="92" t="str">
        <f>+Schedule!D30</f>
        <v>&lt;LD Name&gt;</v>
      </c>
      <c r="E68" s="92"/>
    </row>
    <row r="69" spans="1:5" ht="16.8" x14ac:dyDescent="0.3">
      <c r="A69" s="105" t="s">
        <v>46</v>
      </c>
      <c r="B69" s="103" t="str">
        <f>CONCATENATE("     "&amp;+Schedule!E27&amp;",  "&amp;+Schedule!E28&amp;",  "&amp;+Schedule!E29,IF(ISBLANK(Schedule!E30),"",",  "&amp;Schedule!E30))</f>
        <v xml:space="preserve">     &lt;TL5 Name&gt;,  &lt;TL6 Name&gt;,  &lt;ATL3 Name&gt;</v>
      </c>
      <c r="C69" s="92"/>
      <c r="D69" s="92"/>
      <c r="E69" s="92" t="str">
        <f>IF(ISBLANK(Schedule!E30),"",Schedule!E30)</f>
        <v/>
      </c>
    </row>
    <row r="70" spans="1:5" ht="9" customHeight="1" x14ac:dyDescent="0.3">
      <c r="A70" s="69"/>
    </row>
    <row r="71" spans="1:5" ht="16.8" x14ac:dyDescent="0.3">
      <c r="A71" s="69" t="s">
        <v>47</v>
      </c>
      <c r="B71" s="95"/>
      <c r="C71" s="95"/>
      <c r="D71" s="95"/>
      <c r="E71" s="95"/>
    </row>
    <row r="72" spans="1:5" ht="16.8" x14ac:dyDescent="0.3">
      <c r="A72" s="69" t="s">
        <v>48</v>
      </c>
      <c r="B72" s="92" t="str">
        <f>+TeamInfo!F30</f>
        <v>&lt;ALD3 Name&gt;</v>
      </c>
      <c r="C72" s="95"/>
      <c r="D72" s="95"/>
      <c r="E72" s="95"/>
    </row>
    <row r="74" spans="1:5" s="211" customFormat="1" ht="16.8" x14ac:dyDescent="0.3">
      <c r="A74" s="105" t="s">
        <v>444</v>
      </c>
      <c r="B74" s="222"/>
      <c r="C74" s="95"/>
      <c r="D74" s="95"/>
      <c r="E74" s="95"/>
    </row>
  </sheetData>
  <mergeCells count="8">
    <mergeCell ref="A35:E35"/>
    <mergeCell ref="A36:E36"/>
    <mergeCell ref="A37:E37"/>
    <mergeCell ref="D2:E2"/>
    <mergeCell ref="A1:E1"/>
    <mergeCell ref="A32:E32"/>
    <mergeCell ref="A33:E33"/>
    <mergeCell ref="A34:E34"/>
  </mergeCells>
  <phoneticPr fontId="6" type="noConversion"/>
  <pageMargins left="0.5" right="0.38" top="0.35" bottom="0.35" header="0.3" footer="0.3"/>
  <pageSetup orientation="portrait" r:id="rId1"/>
  <headerFooter alignWithMargins="0"/>
  <rowBreaks count="1" manualBreakCount="1">
    <brk id="51" max="1638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D15803-6CCF-4E2D-88A1-AD63FBE22D87}">
  <dimension ref="A1:F17"/>
  <sheetViews>
    <sheetView workbookViewId="0">
      <selection sqref="A1:E1"/>
    </sheetView>
  </sheetViews>
  <sheetFormatPr defaultRowHeight="13.2" x14ac:dyDescent="0.25"/>
  <cols>
    <col min="1" max="2" width="23.5546875" style="176" customWidth="1"/>
    <col min="3" max="3" width="2.33203125" style="176" customWidth="1"/>
    <col min="4" max="5" width="23.5546875" style="176" customWidth="1"/>
    <col min="6" max="16384" width="8.88671875" style="176"/>
  </cols>
  <sheetData>
    <row r="1" spans="1:6" s="104" customFormat="1" ht="18" x14ac:dyDescent="0.35">
      <c r="A1" s="257" t="str">
        <f>+"New-Ark Area Emmaus "&amp;TeamInfo!D5&amp;" "&amp;TeamInfo!D6</f>
        <v xml:space="preserve">New-Ark Area Emmaus Wo/Men's Walk #NN </v>
      </c>
      <c r="B1" s="257"/>
      <c r="C1" s="257"/>
      <c r="D1" s="257"/>
      <c r="E1" s="257"/>
    </row>
    <row r="2" spans="1:6" ht="17.399999999999999" x14ac:dyDescent="0.3">
      <c r="A2" s="178" t="s">
        <v>290</v>
      </c>
      <c r="B2" s="179"/>
      <c r="C2" s="179"/>
      <c r="D2" s="282">
        <f>+Schedule!B27</f>
        <v>36586</v>
      </c>
      <c r="E2" s="282"/>
    </row>
    <row r="3" spans="1:6" ht="6" customHeight="1" x14ac:dyDescent="0.25">
      <c r="A3" s="14"/>
    </row>
    <row r="4" spans="1:6" ht="16.8" x14ac:dyDescent="0.3">
      <c r="A4" s="181" t="s">
        <v>364</v>
      </c>
      <c r="B4" s="284" t="s">
        <v>394</v>
      </c>
      <c r="C4" s="284"/>
      <c r="D4" s="284"/>
      <c r="E4" s="284"/>
    </row>
    <row r="5" spans="1:6" ht="16.8" x14ac:dyDescent="0.3">
      <c r="A5" s="182" t="s">
        <v>3</v>
      </c>
      <c r="B5" s="92" t="str">
        <f>+Schedule!C27</f>
        <v>&lt;ATL4 Name&gt;</v>
      </c>
    </row>
    <row r="6" spans="1:6" ht="16.8" x14ac:dyDescent="0.3">
      <c r="A6" s="182" t="s">
        <v>279</v>
      </c>
      <c r="B6" s="103" t="str">
        <f>CONCATENATE("     "&amp;+Schedule!E27&amp;",  "&amp;+Schedule!E28&amp;",  "&amp;+Schedule!E29,IF(ISBLANK(Schedule!E30),"",",  "&amp;Schedule!E30))</f>
        <v xml:space="preserve">     &lt;TL5 Name&gt;,  &lt;TL6 Name&gt;,  &lt;ATL3 Name&gt;</v>
      </c>
      <c r="C6" s="92"/>
      <c r="D6" s="92"/>
      <c r="E6" s="92"/>
      <c r="F6" s="95"/>
    </row>
    <row r="7" spans="1:6" ht="16.8" x14ac:dyDescent="0.3">
      <c r="A7" s="182" t="s">
        <v>31</v>
      </c>
      <c r="B7" s="92" t="str">
        <f>+TeamInfo!F21</f>
        <v>&lt;SD Name&gt;</v>
      </c>
      <c r="C7" s="94"/>
      <c r="D7" s="94" t="str">
        <f>IF(ISBLANK(TeamInfo!F22),"",TeamInfo!F22)</f>
        <v>&lt;SD2 Name&gt;</v>
      </c>
    </row>
    <row r="8" spans="1:6" ht="16.2" customHeight="1" x14ac:dyDescent="0.3">
      <c r="A8" s="182" t="s">
        <v>33</v>
      </c>
      <c r="B8" s="181"/>
      <c r="C8" s="181"/>
      <c r="D8" s="181"/>
      <c r="E8" s="181"/>
    </row>
    <row r="9" spans="1:6" s="73" customFormat="1" ht="18" customHeight="1" x14ac:dyDescent="0.3">
      <c r="A9" s="186" t="str">
        <f>+Schedule!D27</f>
        <v>Body of Christ</v>
      </c>
      <c r="B9" s="187" t="str">
        <f>+Schedule!D28</f>
        <v>&lt;TL7 Name&gt;</v>
      </c>
      <c r="C9" s="188" t="s">
        <v>20</v>
      </c>
      <c r="D9" s="186" t="str">
        <f>+Schedule!D29</f>
        <v>Perseverance</v>
      </c>
      <c r="E9" s="187" t="str">
        <f>+Schedule!D30</f>
        <v>&lt;LD Name&gt;</v>
      </c>
    </row>
    <row r="10" spans="1:6" ht="16.8" x14ac:dyDescent="0.3">
      <c r="A10" s="182" t="s">
        <v>48</v>
      </c>
      <c r="B10" s="92" t="str">
        <f>+TeamInfo!F27</f>
        <v>&lt;LD Name&gt;</v>
      </c>
      <c r="C10" s="95"/>
      <c r="D10" s="95"/>
      <c r="E10" s="95"/>
    </row>
    <row r="11" spans="1:6" ht="16.8" x14ac:dyDescent="0.3">
      <c r="A11" s="181"/>
      <c r="B11" s="92"/>
      <c r="C11" s="180"/>
      <c r="D11" s="75"/>
      <c r="E11" s="73"/>
    </row>
    <row r="12" spans="1:6" ht="16.8" x14ac:dyDescent="0.3">
      <c r="A12" s="181" t="s">
        <v>365</v>
      </c>
      <c r="B12" s="283" t="s">
        <v>396</v>
      </c>
      <c r="C12" s="283"/>
      <c r="D12" s="283"/>
      <c r="E12" s="283"/>
      <c r="F12" s="181"/>
    </row>
    <row r="13" spans="1:6" ht="16.8" x14ac:dyDescent="0.3">
      <c r="A13" s="181"/>
      <c r="B13" s="283" t="s">
        <v>448</v>
      </c>
      <c r="C13" s="283"/>
      <c r="D13" s="283"/>
      <c r="E13" s="283"/>
      <c r="F13" s="181"/>
    </row>
    <row r="14" spans="1:6" ht="16.8" x14ac:dyDescent="0.3">
      <c r="A14" s="73"/>
      <c r="B14" s="283" t="s">
        <v>393</v>
      </c>
      <c r="C14" s="283"/>
      <c r="D14" s="283"/>
      <c r="E14" s="283"/>
    </row>
    <row r="15" spans="1:6" ht="16.8" x14ac:dyDescent="0.3">
      <c r="B15" s="181" t="s">
        <v>391</v>
      </c>
      <c r="C15" s="181"/>
      <c r="D15" s="181"/>
      <c r="E15" s="181"/>
    </row>
    <row r="16" spans="1:6" ht="16.8" x14ac:dyDescent="0.3">
      <c r="B16" s="283" t="s">
        <v>375</v>
      </c>
      <c r="C16" s="283"/>
      <c r="D16" s="283"/>
      <c r="E16" s="283"/>
    </row>
    <row r="17" spans="2:5" ht="16.8" x14ac:dyDescent="0.3">
      <c r="B17" s="283" t="s">
        <v>416</v>
      </c>
      <c r="C17" s="283"/>
      <c r="D17" s="283"/>
      <c r="E17" s="283"/>
    </row>
  </sheetData>
  <mergeCells count="8">
    <mergeCell ref="B14:E14"/>
    <mergeCell ref="B16:E16"/>
    <mergeCell ref="B17:E17"/>
    <mergeCell ref="A1:E1"/>
    <mergeCell ref="D2:E2"/>
    <mergeCell ref="B4:E4"/>
    <mergeCell ref="B12:E12"/>
    <mergeCell ref="B13:E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O49"/>
  <sheetViews>
    <sheetView workbookViewId="0">
      <selection sqref="A1:J1"/>
    </sheetView>
  </sheetViews>
  <sheetFormatPr defaultRowHeight="13.2" x14ac:dyDescent="0.25"/>
  <cols>
    <col min="1" max="1" width="25.109375" customWidth="1"/>
    <col min="2" max="2" width="14.44140625" customWidth="1"/>
    <col min="3" max="3" width="13.5546875" customWidth="1"/>
    <col min="4" max="4" width="22.44140625" customWidth="1"/>
    <col min="5" max="6" width="21.44140625" customWidth="1"/>
    <col min="7" max="8" width="21.109375" customWidth="1"/>
    <col min="9" max="11" width="13.88671875" customWidth="1"/>
    <col min="12" max="12" width="27.77734375" customWidth="1"/>
    <col min="13" max="15" width="35.5546875" customWidth="1"/>
  </cols>
  <sheetData>
    <row r="1" spans="1:10" x14ac:dyDescent="0.25">
      <c r="A1" s="251" t="s">
        <v>119</v>
      </c>
      <c r="B1" s="251"/>
      <c r="C1" s="251"/>
      <c r="D1" s="251"/>
      <c r="E1" s="251"/>
      <c r="F1" s="251"/>
      <c r="G1" s="251"/>
      <c r="H1" s="251"/>
      <c r="I1" s="251"/>
      <c r="J1" s="251"/>
    </row>
    <row r="2" spans="1:10" x14ac:dyDescent="0.25">
      <c r="A2" s="251" t="s">
        <v>156</v>
      </c>
      <c r="B2" s="251"/>
      <c r="C2" s="251"/>
      <c r="D2" s="251"/>
      <c r="E2" s="251"/>
      <c r="F2" s="251"/>
      <c r="G2" s="251"/>
      <c r="H2" s="251"/>
      <c r="I2" s="251"/>
      <c r="J2" s="251"/>
    </row>
    <row r="3" spans="1:10" x14ac:dyDescent="0.25">
      <c r="A3" s="251" t="s">
        <v>350</v>
      </c>
      <c r="B3" s="251"/>
      <c r="C3" s="251"/>
      <c r="D3" s="251"/>
      <c r="E3" s="251"/>
      <c r="F3" s="251"/>
      <c r="G3" s="251"/>
      <c r="H3" s="251"/>
      <c r="I3" s="251"/>
      <c r="J3" s="251"/>
    </row>
    <row r="4" spans="1:10" ht="9" customHeight="1" x14ac:dyDescent="0.25"/>
    <row r="5" spans="1:10" x14ac:dyDescent="0.25">
      <c r="A5" s="28" t="s">
        <v>190</v>
      </c>
      <c r="B5" s="28"/>
      <c r="C5" s="28"/>
      <c r="D5" s="37" t="s">
        <v>139</v>
      </c>
      <c r="E5" s="37" t="s">
        <v>133</v>
      </c>
      <c r="F5" s="37" t="s">
        <v>134</v>
      </c>
      <c r="G5" s="37" t="s">
        <v>135</v>
      </c>
      <c r="H5" s="37" t="s">
        <v>136</v>
      </c>
      <c r="I5" s="37" t="s">
        <v>137</v>
      </c>
      <c r="J5" s="37" t="s">
        <v>138</v>
      </c>
    </row>
    <row r="6" spans="1:10" x14ac:dyDescent="0.25">
      <c r="A6" s="28" t="s">
        <v>140</v>
      </c>
      <c r="B6" s="38"/>
      <c r="C6" s="38"/>
      <c r="D6" s="29"/>
      <c r="E6" t="s">
        <v>142</v>
      </c>
      <c r="F6" t="s">
        <v>143</v>
      </c>
      <c r="G6" t="s">
        <v>144</v>
      </c>
      <c r="H6" t="s">
        <v>145</v>
      </c>
      <c r="I6" t="s">
        <v>146</v>
      </c>
      <c r="J6" t="s">
        <v>147</v>
      </c>
    </row>
    <row r="7" spans="1:10" ht="15" customHeight="1" x14ac:dyDescent="0.25">
      <c r="A7" s="28" t="s">
        <v>141</v>
      </c>
      <c r="B7" s="38"/>
      <c r="C7" s="38"/>
      <c r="D7" s="29"/>
      <c r="E7" s="39" t="s">
        <v>148</v>
      </c>
      <c r="F7" s="39" t="s">
        <v>149</v>
      </c>
      <c r="G7" s="39" t="s">
        <v>150</v>
      </c>
      <c r="H7" s="39" t="s">
        <v>151</v>
      </c>
      <c r="I7" s="39" t="s">
        <v>152</v>
      </c>
      <c r="J7" s="39" t="s">
        <v>153</v>
      </c>
    </row>
    <row r="8" spans="1:10" ht="15" customHeight="1" x14ac:dyDescent="0.25">
      <c r="A8" s="38" t="s">
        <v>223</v>
      </c>
      <c r="B8" s="38"/>
      <c r="C8" s="38"/>
      <c r="D8" s="23" t="s">
        <v>363</v>
      </c>
      <c r="E8" s="39"/>
      <c r="F8" s="39"/>
      <c r="G8" s="39"/>
      <c r="H8" s="39"/>
      <c r="I8" s="39"/>
      <c r="J8" s="39"/>
    </row>
    <row r="9" spans="1:10" ht="15" customHeight="1" x14ac:dyDescent="0.25">
      <c r="A9" s="28" t="s">
        <v>346</v>
      </c>
      <c r="B9" s="38"/>
      <c r="C9" s="38"/>
      <c r="D9" s="131" t="s">
        <v>332</v>
      </c>
      <c r="E9" s="39"/>
      <c r="F9" s="39"/>
      <c r="G9" s="39"/>
      <c r="H9" s="39"/>
      <c r="I9" s="39"/>
      <c r="J9" s="39"/>
    </row>
    <row r="10" spans="1:10" s="176" customFormat="1" ht="9" customHeight="1" x14ac:dyDescent="0.25">
      <c r="A10" s="175"/>
      <c r="B10" s="38"/>
      <c r="C10" s="38"/>
      <c r="D10" s="189"/>
      <c r="E10" s="39"/>
      <c r="F10" s="39"/>
      <c r="G10" s="39"/>
      <c r="H10" s="39"/>
      <c r="I10" s="39"/>
      <c r="J10" s="39"/>
    </row>
    <row r="11" spans="1:10" s="176" customFormat="1" ht="15" customHeight="1" x14ac:dyDescent="0.25">
      <c r="A11" s="175" t="s">
        <v>417</v>
      </c>
      <c r="B11" s="38"/>
      <c r="C11" s="38"/>
      <c r="G11" s="39"/>
      <c r="H11" s="39"/>
      <c r="I11" s="39"/>
      <c r="J11" s="39"/>
    </row>
    <row r="12" spans="1:10" s="176" customFormat="1" ht="15" customHeight="1" x14ac:dyDescent="0.25">
      <c r="A12" s="190" t="s">
        <v>418</v>
      </c>
      <c r="B12" s="38"/>
      <c r="C12" s="38"/>
      <c r="D12" s="131" t="s">
        <v>421</v>
      </c>
      <c r="E12" s="67"/>
      <c r="F12" s="67"/>
      <c r="G12" s="39"/>
      <c r="H12" s="39"/>
      <c r="I12" s="39"/>
      <c r="J12" s="39"/>
    </row>
    <row r="13" spans="1:10" s="176" customFormat="1" ht="9" customHeight="1" x14ac:dyDescent="0.25">
      <c r="A13" s="190"/>
      <c r="B13" s="38"/>
      <c r="C13" s="38"/>
      <c r="D13" s="191"/>
      <c r="E13" s="198"/>
      <c r="F13" s="198"/>
      <c r="G13" s="39"/>
      <c r="H13" s="39"/>
      <c r="I13" s="39"/>
      <c r="J13" s="39"/>
    </row>
    <row r="14" spans="1:10" s="176" customFormat="1" ht="15" customHeight="1" x14ac:dyDescent="0.25">
      <c r="A14" s="190" t="s">
        <v>399</v>
      </c>
      <c r="B14" s="38"/>
      <c r="C14" s="38"/>
      <c r="D14" s="189" t="s">
        <v>400</v>
      </c>
      <c r="E14" s="67" t="s">
        <v>401</v>
      </c>
      <c r="F14" s="67" t="s">
        <v>402</v>
      </c>
      <c r="G14" s="39"/>
      <c r="H14" s="39"/>
      <c r="I14" s="39"/>
      <c r="J14" s="39"/>
    </row>
    <row r="15" spans="1:10" s="176" customFormat="1" ht="15" customHeight="1" x14ac:dyDescent="0.25">
      <c r="A15" s="190"/>
      <c r="B15" s="38"/>
      <c r="C15" s="38"/>
      <c r="D15" s="193" t="s">
        <v>412</v>
      </c>
      <c r="E15" s="194" t="s">
        <v>413</v>
      </c>
      <c r="F15" s="194" t="s">
        <v>414</v>
      </c>
      <c r="G15" s="39"/>
      <c r="H15" s="39"/>
      <c r="I15" s="39"/>
      <c r="J15" s="39"/>
    </row>
    <row r="16" spans="1:10" s="176" customFormat="1" ht="9" customHeight="1" x14ac:dyDescent="0.25">
      <c r="A16" s="190"/>
      <c r="B16" s="38"/>
      <c r="C16" s="38"/>
      <c r="D16" s="191"/>
      <c r="E16" s="198"/>
      <c r="F16" s="198"/>
      <c r="G16" s="39"/>
      <c r="H16" s="39"/>
      <c r="I16" s="39"/>
      <c r="J16" s="39"/>
    </row>
    <row r="17" spans="1:15" ht="15" customHeight="1" x14ac:dyDescent="0.25">
      <c r="A17" s="190" t="s">
        <v>411</v>
      </c>
      <c r="B17" s="175"/>
      <c r="C17" s="38"/>
      <c r="D17" s="23" t="s">
        <v>165</v>
      </c>
      <c r="E17" s="23" t="s">
        <v>166</v>
      </c>
      <c r="F17" s="23" t="s">
        <v>167</v>
      </c>
      <c r="G17" s="23" t="s">
        <v>168</v>
      </c>
      <c r="H17" s="23" t="s">
        <v>169</v>
      </c>
      <c r="I17" s="23" t="s">
        <v>170</v>
      </c>
      <c r="J17" s="67" t="s">
        <v>159</v>
      </c>
    </row>
    <row r="18" spans="1:15" x14ac:dyDescent="0.25">
      <c r="A18" s="190" t="s">
        <v>154</v>
      </c>
      <c r="B18" s="175"/>
      <c r="C18" s="28"/>
      <c r="D18" s="192">
        <v>36557</v>
      </c>
      <c r="E18" s="55">
        <v>36564</v>
      </c>
      <c r="F18" s="55">
        <v>36571</v>
      </c>
      <c r="G18" s="55">
        <v>36578</v>
      </c>
      <c r="H18" s="55">
        <v>36586</v>
      </c>
      <c r="I18" s="55">
        <v>36600</v>
      </c>
      <c r="J18" s="55">
        <v>36588</v>
      </c>
    </row>
    <row r="19" spans="1:15" x14ac:dyDescent="0.25">
      <c r="A19" s="190"/>
      <c r="B19" s="28"/>
      <c r="C19" s="28"/>
    </row>
    <row r="20" spans="1:15" x14ac:dyDescent="0.25">
      <c r="A20" s="28" t="s">
        <v>87</v>
      </c>
      <c r="B20" s="17" t="s">
        <v>234</v>
      </c>
      <c r="C20" s="17" t="s">
        <v>235</v>
      </c>
      <c r="D20" s="28" t="s">
        <v>105</v>
      </c>
      <c r="E20" s="30" t="s">
        <v>111</v>
      </c>
      <c r="F20" s="28" t="s">
        <v>88</v>
      </c>
      <c r="G20" s="30" t="s">
        <v>316</v>
      </c>
      <c r="H20" s="30" t="s">
        <v>317</v>
      </c>
      <c r="I20" s="30" t="s">
        <v>318</v>
      </c>
      <c r="J20" s="30" t="s">
        <v>319</v>
      </c>
      <c r="K20" s="30" t="s">
        <v>320</v>
      </c>
      <c r="L20" s="30" t="s">
        <v>321</v>
      </c>
      <c r="M20" s="30" t="s">
        <v>322</v>
      </c>
      <c r="N20" s="30" t="s">
        <v>323</v>
      </c>
      <c r="O20" s="30" t="s">
        <v>324</v>
      </c>
    </row>
    <row r="21" spans="1:15" x14ac:dyDescent="0.25">
      <c r="A21" s="129" t="s">
        <v>12</v>
      </c>
      <c r="B21" s="58" t="s">
        <v>236</v>
      </c>
      <c r="C21" s="58" t="s">
        <v>260</v>
      </c>
      <c r="D21" t="s">
        <v>122</v>
      </c>
      <c r="E21" s="130" t="s">
        <v>306</v>
      </c>
      <c r="F21" t="str">
        <f>IF(ISBLANK($B$21),"",$B$21&amp;" "&amp;$C$21)</f>
        <v>&lt;SD Name&gt;</v>
      </c>
      <c r="G21" s="132"/>
      <c r="H21" s="132"/>
      <c r="I21" s="132"/>
      <c r="J21" s="132"/>
      <c r="K21" s="132"/>
      <c r="L21" s="132"/>
      <c r="M21" s="132"/>
      <c r="N21" s="132"/>
      <c r="O21" s="132"/>
    </row>
    <row r="22" spans="1:15" x14ac:dyDescent="0.25">
      <c r="A22" s="129" t="s">
        <v>112</v>
      </c>
      <c r="B22" s="131" t="s">
        <v>237</v>
      </c>
      <c r="C22" s="58" t="s">
        <v>260</v>
      </c>
      <c r="E22" s="130" t="s">
        <v>307</v>
      </c>
      <c r="F22" t="str">
        <f>IF(ISBLANK($B$22),"",$B$22&amp;" "&amp;$C$22)</f>
        <v>&lt;SD2 Name&gt;</v>
      </c>
      <c r="G22" s="132"/>
      <c r="H22" s="132"/>
      <c r="I22" s="132"/>
      <c r="J22" s="132"/>
      <c r="K22" s="132"/>
      <c r="L22" s="132"/>
      <c r="M22" s="132"/>
      <c r="N22" s="132"/>
      <c r="O22" s="132"/>
    </row>
    <row r="23" spans="1:15" x14ac:dyDescent="0.25">
      <c r="A23" s="129" t="s">
        <v>301</v>
      </c>
      <c r="B23" s="58" t="s">
        <v>238</v>
      </c>
      <c r="C23" s="58" t="s">
        <v>261</v>
      </c>
      <c r="D23" t="s">
        <v>120</v>
      </c>
      <c r="E23" s="130" t="s">
        <v>308</v>
      </c>
      <c r="F23" t="str">
        <f>IF(ISBLANK($B$23),"",$B$23&amp;" "&amp;$C$23)</f>
        <v>TBD -  Prevenient</v>
      </c>
      <c r="G23" s="132"/>
      <c r="H23" s="132"/>
      <c r="I23" s="132"/>
      <c r="J23" s="132"/>
      <c r="K23" s="132"/>
      <c r="L23" s="132"/>
      <c r="M23" s="132"/>
      <c r="N23" s="132"/>
      <c r="O23" s="132"/>
    </row>
    <row r="24" spans="1:15" x14ac:dyDescent="0.25">
      <c r="A24" s="129" t="s">
        <v>302</v>
      </c>
      <c r="B24" s="58" t="s">
        <v>238</v>
      </c>
      <c r="C24" s="58" t="s">
        <v>262</v>
      </c>
      <c r="D24" t="s">
        <v>121</v>
      </c>
      <c r="E24" s="130" t="s">
        <v>308</v>
      </c>
      <c r="F24" t="str">
        <f>IF(ISBLANK($B$24),"",$B$24&amp;" "&amp;$C$24)</f>
        <v>TBD -  Justifying</v>
      </c>
      <c r="G24" s="132"/>
      <c r="H24" s="132"/>
      <c r="I24" s="132"/>
      <c r="J24" s="132"/>
      <c r="K24" s="132"/>
      <c r="L24" s="132"/>
      <c r="M24" s="132"/>
      <c r="N24" s="132"/>
      <c r="O24" s="132"/>
    </row>
    <row r="25" spans="1:15" x14ac:dyDescent="0.25">
      <c r="A25" s="129" t="s">
        <v>303</v>
      </c>
      <c r="B25" s="58" t="s">
        <v>238</v>
      </c>
      <c r="C25" s="58" t="s">
        <v>263</v>
      </c>
      <c r="D25" t="s">
        <v>123</v>
      </c>
      <c r="E25" s="130" t="s">
        <v>308</v>
      </c>
      <c r="F25" t="str">
        <f>IF(ISBLANK($B$25),"",$B$25&amp;" "&amp;$C$25)</f>
        <v>TBD -  Obstacles</v>
      </c>
      <c r="G25" s="132"/>
      <c r="H25" s="132"/>
      <c r="I25" s="132"/>
      <c r="J25" s="132"/>
      <c r="K25" s="132"/>
      <c r="L25" s="132"/>
      <c r="M25" s="132"/>
      <c r="N25" s="132"/>
      <c r="O25" s="132"/>
    </row>
    <row r="26" spans="1:15" x14ac:dyDescent="0.25">
      <c r="A26" s="129" t="s">
        <v>304</v>
      </c>
      <c r="B26" s="58" t="s">
        <v>238</v>
      </c>
      <c r="C26" s="58" t="s">
        <v>264</v>
      </c>
      <c r="D26" t="s">
        <v>124</v>
      </c>
      <c r="E26" s="130" t="s">
        <v>308</v>
      </c>
      <c r="F26" t="str">
        <f>IF(ISBLANK($B$26),"",$B$26&amp;" "&amp;$C$26)</f>
        <v>TBD -  Sanctifying</v>
      </c>
      <c r="G26" s="132"/>
      <c r="H26" s="132"/>
      <c r="I26" s="132"/>
      <c r="J26" s="132"/>
      <c r="K26" s="132"/>
      <c r="L26" s="132"/>
      <c r="M26" s="132"/>
      <c r="N26" s="132"/>
      <c r="O26" s="132"/>
    </row>
    <row r="27" spans="1:15" x14ac:dyDescent="0.25">
      <c r="A27" s="129" t="s">
        <v>7</v>
      </c>
      <c r="B27" s="58" t="s">
        <v>239</v>
      </c>
      <c r="C27" s="58" t="s">
        <v>260</v>
      </c>
      <c r="D27" s="29" t="s">
        <v>92</v>
      </c>
      <c r="E27" s="130" t="s">
        <v>309</v>
      </c>
      <c r="F27" t="str">
        <f>IF(ISBLANK($B$27),"",$B$27&amp;" "&amp;$C$27)</f>
        <v>&lt;LD Name&gt;</v>
      </c>
      <c r="G27" s="132"/>
      <c r="H27" s="132"/>
      <c r="I27" s="132"/>
      <c r="J27" s="132"/>
      <c r="K27" s="132"/>
      <c r="L27" s="132"/>
      <c r="M27" s="132"/>
      <c r="N27" s="132"/>
      <c r="O27" s="132"/>
    </row>
    <row r="28" spans="1:15" x14ac:dyDescent="0.25">
      <c r="A28" s="129" t="s">
        <v>91</v>
      </c>
      <c r="B28" s="58" t="s">
        <v>240</v>
      </c>
      <c r="C28" s="58" t="s">
        <v>260</v>
      </c>
      <c r="D28" s="29" t="s">
        <v>84</v>
      </c>
      <c r="E28" s="130" t="s">
        <v>310</v>
      </c>
      <c r="F28" t="str">
        <f>IF(ISBLANK($B$28),"",$B$28&amp;" "&amp;$C$28)</f>
        <v>&lt;ALD1 Name&gt;</v>
      </c>
      <c r="G28" s="132"/>
      <c r="H28" s="132"/>
      <c r="I28" s="132"/>
      <c r="J28" s="132"/>
      <c r="K28" s="132"/>
      <c r="L28" s="132"/>
      <c r="M28" s="132"/>
      <c r="N28" s="132"/>
      <c r="O28" s="132"/>
    </row>
    <row r="29" spans="1:15" x14ac:dyDescent="0.25">
      <c r="A29" s="129" t="s">
        <v>305</v>
      </c>
      <c r="B29" s="58" t="s">
        <v>241</v>
      </c>
      <c r="C29" s="58" t="s">
        <v>260</v>
      </c>
      <c r="D29" s="29" t="s">
        <v>80</v>
      </c>
      <c r="E29" s="130" t="s">
        <v>310</v>
      </c>
      <c r="F29" t="str">
        <f>IF(ISBLANK($B$29),"",$B$29&amp;" "&amp;$C$29)</f>
        <v>&lt;ALD2 Name&gt;</v>
      </c>
      <c r="G29" s="132"/>
      <c r="H29" s="132"/>
      <c r="I29" s="132"/>
      <c r="J29" s="132"/>
      <c r="K29" s="132"/>
      <c r="L29" s="132"/>
      <c r="M29" s="132"/>
      <c r="N29" s="132"/>
      <c r="O29" s="132"/>
    </row>
    <row r="30" spans="1:15" x14ac:dyDescent="0.25">
      <c r="A30" s="129" t="s">
        <v>155</v>
      </c>
      <c r="B30" s="58" t="s">
        <v>242</v>
      </c>
      <c r="C30" s="58" t="s">
        <v>260</v>
      </c>
      <c r="E30" s="130" t="s">
        <v>310</v>
      </c>
      <c r="F30" t="str">
        <f>IF(ISBLANK($B$30),"",$B$30&amp;" "&amp;$C$30)</f>
        <v>&lt;ALD3 Name&gt;</v>
      </c>
      <c r="G30" s="132"/>
      <c r="H30" s="132"/>
      <c r="I30" s="132"/>
      <c r="J30" s="132"/>
      <c r="K30" s="132"/>
      <c r="L30" s="132"/>
      <c r="M30" s="132"/>
      <c r="N30" s="132"/>
      <c r="O30" s="132"/>
    </row>
    <row r="31" spans="1:15" x14ac:dyDescent="0.25">
      <c r="A31" s="129" t="s">
        <v>8</v>
      </c>
      <c r="B31" s="58" t="s">
        <v>243</v>
      </c>
      <c r="C31" s="58" t="s">
        <v>260</v>
      </c>
      <c r="E31" s="130" t="s">
        <v>311</v>
      </c>
      <c r="F31" t="str">
        <f>IF(ISBLANK($B$31),"",$B$31&amp;" "&amp;$C$31)</f>
        <v>&lt;BR Name&gt;</v>
      </c>
      <c r="G31" s="132"/>
      <c r="H31" s="132"/>
      <c r="I31" s="132"/>
      <c r="J31" s="132"/>
      <c r="K31" s="132"/>
      <c r="L31" s="132"/>
      <c r="M31" s="132"/>
      <c r="N31" s="132"/>
      <c r="O31" s="132"/>
    </row>
    <row r="32" spans="1:15" x14ac:dyDescent="0.25">
      <c r="A32" s="129" t="s">
        <v>9</v>
      </c>
      <c r="B32" s="58" t="s">
        <v>244</v>
      </c>
      <c r="C32" s="58" t="s">
        <v>260</v>
      </c>
      <c r="E32" s="130" t="s">
        <v>312</v>
      </c>
      <c r="F32" t="str">
        <f>IF(ISBLANK($B$32),"",$B$32&amp;" "&amp;$C$32)</f>
        <v>&lt;TD Name&gt;</v>
      </c>
      <c r="G32" s="132"/>
      <c r="H32" s="132"/>
      <c r="I32" s="132"/>
      <c r="J32" s="132"/>
      <c r="K32" s="132"/>
      <c r="L32" s="132"/>
      <c r="M32" s="132"/>
      <c r="N32" s="132"/>
      <c r="O32" s="132"/>
    </row>
    <row r="33" spans="1:15" x14ac:dyDescent="0.25">
      <c r="A33" s="129" t="s">
        <v>85</v>
      </c>
      <c r="B33" s="58" t="s">
        <v>245</v>
      </c>
      <c r="C33" s="58" t="s">
        <v>260</v>
      </c>
      <c r="E33" s="130" t="s">
        <v>313</v>
      </c>
      <c r="F33" t="str">
        <f>IF(ISBLANK($B$33),"",$B$33&amp;" "&amp;$C$33)</f>
        <v>&lt;TD2 Name&gt;</v>
      </c>
      <c r="G33" s="132"/>
      <c r="H33" s="132"/>
      <c r="I33" s="132"/>
      <c r="J33" s="132"/>
      <c r="K33" s="132"/>
      <c r="L33" s="132"/>
      <c r="M33" s="132"/>
      <c r="N33" s="132"/>
      <c r="O33" s="132"/>
    </row>
    <row r="34" spans="1:15" x14ac:dyDescent="0.25">
      <c r="A34" s="129" t="s">
        <v>10</v>
      </c>
      <c r="B34" s="58" t="s">
        <v>246</v>
      </c>
      <c r="C34" s="58" t="s">
        <v>260</v>
      </c>
      <c r="E34" s="130" t="s">
        <v>314</v>
      </c>
      <c r="F34" t="str">
        <f>IF(ISBLANK($B$34),"",$B$34&amp;" "&amp;$C$34)</f>
        <v>&lt;MD Name&gt;</v>
      </c>
      <c r="G34" s="132"/>
      <c r="H34" s="132"/>
      <c r="I34" s="132"/>
      <c r="J34" s="132"/>
      <c r="K34" s="132"/>
      <c r="L34" s="132"/>
      <c r="M34" s="132"/>
      <c r="N34" s="132"/>
      <c r="O34" s="132"/>
    </row>
    <row r="35" spans="1:15" x14ac:dyDescent="0.25">
      <c r="A35" s="129" t="s">
        <v>11</v>
      </c>
      <c r="B35" s="58" t="s">
        <v>247</v>
      </c>
      <c r="C35" s="58" t="s">
        <v>260</v>
      </c>
      <c r="E35" s="130" t="s">
        <v>315</v>
      </c>
      <c r="F35" t="str">
        <f>IF(ISBLANK($B$35),"",$B$35&amp;" "&amp;$C$35)</f>
        <v>&lt;MD2 Name&gt;</v>
      </c>
      <c r="G35" s="132"/>
      <c r="H35" s="132"/>
      <c r="I35" s="132"/>
      <c r="J35" s="132"/>
      <c r="K35" s="132"/>
      <c r="L35" s="132"/>
      <c r="M35" s="132"/>
      <c r="N35" s="132"/>
      <c r="O35" s="132"/>
    </row>
    <row r="36" spans="1:15" x14ac:dyDescent="0.25">
      <c r="A36" s="129" t="s">
        <v>90</v>
      </c>
      <c r="B36" s="58" t="s">
        <v>248</v>
      </c>
      <c r="C36" s="58" t="s">
        <v>260</v>
      </c>
      <c r="D36" s="58" t="s">
        <v>224</v>
      </c>
      <c r="E36" s="45" t="str">
        <f>+TeamInfo!E5</f>
        <v>TABLE1</v>
      </c>
      <c r="F36" t="str">
        <f>IF(ISBLANK($B$36),"",$B$36&amp;" "&amp;$C$36)</f>
        <v>&lt;TL1 Name&gt;</v>
      </c>
      <c r="G36" s="132"/>
      <c r="H36" s="132"/>
      <c r="I36" s="132"/>
      <c r="J36" s="132"/>
      <c r="K36" s="132"/>
      <c r="L36" s="132"/>
      <c r="M36" s="132"/>
      <c r="N36" s="132"/>
      <c r="O36" s="132"/>
    </row>
    <row r="37" spans="1:15" x14ac:dyDescent="0.25">
      <c r="A37" s="129" t="s">
        <v>93</v>
      </c>
      <c r="B37" s="58" t="s">
        <v>249</v>
      </c>
      <c r="C37" s="58" t="s">
        <v>260</v>
      </c>
      <c r="D37" s="36"/>
      <c r="E37" s="45" t="str">
        <f>+TeamInfo!E5</f>
        <v>TABLE1</v>
      </c>
      <c r="F37" t="str">
        <f>IF(ISBLANK($B$37),"",$B$37&amp;" "&amp;$C$37)</f>
        <v>&lt;ATL1 Name&gt;</v>
      </c>
      <c r="G37" s="132"/>
      <c r="H37" s="132"/>
      <c r="I37" s="132"/>
      <c r="J37" s="132"/>
      <c r="K37" s="132"/>
      <c r="L37" s="132"/>
      <c r="M37" s="132"/>
      <c r="N37" s="132"/>
      <c r="O37" s="132"/>
    </row>
    <row r="38" spans="1:15" x14ac:dyDescent="0.25">
      <c r="A38" s="129" t="s">
        <v>98</v>
      </c>
      <c r="B38" s="58" t="s">
        <v>250</v>
      </c>
      <c r="C38" s="58" t="s">
        <v>260</v>
      </c>
      <c r="D38" s="36" t="s">
        <v>14</v>
      </c>
      <c r="E38" s="45" t="str">
        <f>+TeamInfo!F5</f>
        <v>TABLE2</v>
      </c>
      <c r="F38" t="str">
        <f>IF(ISBLANK($B$38),"",$B$38&amp;" "&amp;$C$38)</f>
        <v>&lt;TL2 Name&gt;</v>
      </c>
      <c r="G38" s="132"/>
      <c r="H38" s="132"/>
      <c r="I38" s="132"/>
      <c r="J38" s="132"/>
      <c r="K38" s="132"/>
      <c r="L38" s="132"/>
      <c r="M38" s="132"/>
      <c r="N38" s="132"/>
      <c r="O38" s="132"/>
    </row>
    <row r="39" spans="1:15" x14ac:dyDescent="0.25">
      <c r="A39" s="129" t="s">
        <v>94</v>
      </c>
      <c r="B39" s="58" t="s">
        <v>251</v>
      </c>
      <c r="C39" s="58" t="s">
        <v>260</v>
      </c>
      <c r="D39" s="36"/>
      <c r="E39" s="45" t="str">
        <f>+TeamInfo!F5</f>
        <v>TABLE2</v>
      </c>
      <c r="F39" t="str">
        <f>IF(ISBLANK($B$39),"",$B$39&amp;" "&amp;$C$39)</f>
        <v>&lt;ATL2 Name&gt;</v>
      </c>
      <c r="G39" s="132"/>
      <c r="H39" s="132"/>
      <c r="I39" s="132"/>
      <c r="J39" s="132"/>
      <c r="K39" s="132"/>
      <c r="L39" s="132"/>
      <c r="M39" s="132"/>
      <c r="N39" s="132"/>
      <c r="O39" s="132"/>
    </row>
    <row r="40" spans="1:15" x14ac:dyDescent="0.25">
      <c r="A40" s="129" t="s">
        <v>99</v>
      </c>
      <c r="B40" s="58" t="s">
        <v>252</v>
      </c>
      <c r="C40" s="58" t="s">
        <v>260</v>
      </c>
      <c r="D40" s="36" t="s">
        <v>86</v>
      </c>
      <c r="E40" s="45" t="str">
        <f>+TeamInfo!G5</f>
        <v>TABLE3</v>
      </c>
      <c r="F40" t="str">
        <f>IF(ISBLANK($B$40),"",$B$40&amp;" "&amp;$C$40)</f>
        <v>&lt;TL3 Name&gt;</v>
      </c>
      <c r="G40" s="132"/>
      <c r="H40" s="132"/>
      <c r="I40" s="132"/>
      <c r="J40" s="132"/>
      <c r="K40" s="132"/>
      <c r="L40" s="132"/>
      <c r="M40" s="132"/>
      <c r="N40" s="132"/>
      <c r="O40" s="132"/>
    </row>
    <row r="41" spans="1:15" x14ac:dyDescent="0.25">
      <c r="A41" s="129" t="s">
        <v>95</v>
      </c>
      <c r="B41" s="58" t="s">
        <v>253</v>
      </c>
      <c r="C41" s="58" t="s">
        <v>260</v>
      </c>
      <c r="D41" s="36"/>
      <c r="E41" s="45" t="str">
        <f>+TeamInfo!G5</f>
        <v>TABLE3</v>
      </c>
      <c r="F41" t="str">
        <f>IF(ISBLANK($B$41),"",$B$41&amp;" "&amp;$C$41)</f>
        <v>&lt;ATL3 Name&gt;</v>
      </c>
      <c r="G41" s="132"/>
      <c r="H41" s="132"/>
      <c r="I41" s="132"/>
      <c r="J41" s="132"/>
      <c r="K41" s="132"/>
      <c r="L41" s="132"/>
      <c r="M41" s="132"/>
      <c r="N41" s="132"/>
      <c r="O41" s="132"/>
    </row>
    <row r="42" spans="1:15" x14ac:dyDescent="0.25">
      <c r="A42" s="129" t="s">
        <v>100</v>
      </c>
      <c r="B42" s="58" t="s">
        <v>254</v>
      </c>
      <c r="C42" s="58" t="s">
        <v>260</v>
      </c>
      <c r="D42" s="36" t="s">
        <v>15</v>
      </c>
      <c r="E42" s="45" t="str">
        <f>+TeamInfo!H5</f>
        <v>TABLE4</v>
      </c>
      <c r="F42" t="str">
        <f>IF(ISBLANK($B$42),"",$B$42&amp;" "&amp;$C$42)</f>
        <v>&lt;TL4 Name&gt;</v>
      </c>
      <c r="G42" s="132"/>
      <c r="H42" s="132"/>
      <c r="I42" s="132"/>
      <c r="J42" s="132"/>
      <c r="K42" s="132"/>
      <c r="L42" s="132"/>
      <c r="M42" s="132"/>
      <c r="N42" s="132"/>
      <c r="O42" s="132"/>
    </row>
    <row r="43" spans="1:15" x14ac:dyDescent="0.25">
      <c r="A43" s="129" t="s">
        <v>96</v>
      </c>
      <c r="B43" s="58" t="s">
        <v>255</v>
      </c>
      <c r="C43" s="58" t="s">
        <v>260</v>
      </c>
      <c r="D43" s="36"/>
      <c r="E43" s="45" t="str">
        <f>+TeamInfo!H5</f>
        <v>TABLE4</v>
      </c>
      <c r="F43" t="str">
        <f>IF(ISBLANK($B$43),"",$B$43&amp;" "&amp;$C$43)</f>
        <v>&lt;ATL4 Name&gt;</v>
      </c>
      <c r="G43" s="132"/>
      <c r="H43" s="132"/>
      <c r="I43" s="132"/>
      <c r="J43" s="132"/>
      <c r="K43" s="132"/>
      <c r="L43" s="132"/>
      <c r="M43" s="132"/>
      <c r="N43" s="132"/>
      <c r="O43" s="132"/>
    </row>
    <row r="44" spans="1:15" x14ac:dyDescent="0.25">
      <c r="A44" s="129" t="s">
        <v>101</v>
      </c>
      <c r="B44" s="58" t="s">
        <v>256</v>
      </c>
      <c r="C44" s="58" t="s">
        <v>260</v>
      </c>
      <c r="D44" s="36" t="s">
        <v>16</v>
      </c>
      <c r="E44" s="45" t="str">
        <f>+TeamInfo!I5</f>
        <v>TABLE5</v>
      </c>
      <c r="F44" t="str">
        <f>IF(ISBLANK($B$44),"",$B$44&amp;" "&amp;$C$44)</f>
        <v>&lt;TL5 Name&gt;</v>
      </c>
      <c r="G44" s="132"/>
      <c r="H44" s="132"/>
      <c r="I44" s="132"/>
      <c r="J44" s="132"/>
      <c r="K44" s="132"/>
      <c r="L44" s="132"/>
      <c r="M44" s="132"/>
      <c r="N44" s="132"/>
      <c r="O44" s="132"/>
    </row>
    <row r="45" spans="1:15" x14ac:dyDescent="0.25">
      <c r="A45" s="129" t="s">
        <v>97</v>
      </c>
      <c r="B45" s="58" t="s">
        <v>257</v>
      </c>
      <c r="C45" s="58" t="s">
        <v>260</v>
      </c>
      <c r="D45" s="36"/>
      <c r="E45" s="45" t="str">
        <f>+TeamInfo!I5</f>
        <v>TABLE5</v>
      </c>
      <c r="F45" t="str">
        <f>IF(ISBLANK($B$45),"",$B$45&amp;" "&amp;$C$45)</f>
        <v>&lt;ATL5 Name&gt;</v>
      </c>
      <c r="G45" s="132"/>
      <c r="H45" s="132"/>
      <c r="I45" s="132"/>
      <c r="J45" s="132"/>
      <c r="K45" s="132"/>
      <c r="L45" s="132"/>
      <c r="M45" s="132"/>
      <c r="N45" s="132"/>
      <c r="O45" s="132"/>
    </row>
    <row r="46" spans="1:15" x14ac:dyDescent="0.25">
      <c r="A46" s="129" t="s">
        <v>102</v>
      </c>
      <c r="B46" s="58" t="s">
        <v>258</v>
      </c>
      <c r="C46" s="58" t="s">
        <v>260</v>
      </c>
      <c r="D46" s="36" t="s">
        <v>17</v>
      </c>
      <c r="E46" s="45" t="str">
        <f>+TeamInfo!J5</f>
        <v>TABLE6</v>
      </c>
      <c r="F46" t="str">
        <f>IF(ISBLANK($B$46),"",$B$46&amp;" "&amp;$C$46)</f>
        <v>&lt;TL6 Name&gt;</v>
      </c>
      <c r="G46" s="132"/>
      <c r="H46" s="132"/>
      <c r="I46" s="132"/>
      <c r="J46" s="132"/>
      <c r="K46" s="132"/>
      <c r="L46" s="132"/>
      <c r="M46" s="132"/>
      <c r="N46" s="132"/>
      <c r="O46" s="132"/>
    </row>
    <row r="47" spans="1:15" x14ac:dyDescent="0.25">
      <c r="A47" s="129" t="s">
        <v>103</v>
      </c>
      <c r="B47" s="58" t="s">
        <v>259</v>
      </c>
      <c r="C47" s="58" t="s">
        <v>260</v>
      </c>
      <c r="D47" s="36" t="s">
        <v>18</v>
      </c>
      <c r="E47" s="45" t="str">
        <f>+TeamInfo!J5</f>
        <v>TABLE6</v>
      </c>
      <c r="F47" t="str">
        <f>IF(ISBLANK($B$47),"",$B$47&amp;" "&amp;$C$47)</f>
        <v>&lt;TL7 Name&gt;</v>
      </c>
      <c r="G47" s="132"/>
      <c r="H47" s="132"/>
      <c r="I47" s="132"/>
      <c r="J47" s="132"/>
      <c r="K47" s="132"/>
      <c r="L47" s="132"/>
      <c r="M47" s="132"/>
      <c r="N47" s="132"/>
      <c r="O47" s="132"/>
    </row>
    <row r="49" spans="1:6" x14ac:dyDescent="0.25">
      <c r="A49" s="28"/>
      <c r="B49" s="28"/>
      <c r="C49" s="28"/>
      <c r="D49" s="28"/>
      <c r="F49" s="30"/>
    </row>
  </sheetData>
  <mergeCells count="3">
    <mergeCell ref="A1:J1"/>
    <mergeCell ref="A2:J2"/>
    <mergeCell ref="A3:J3"/>
  </mergeCells>
  <phoneticPr fontId="6" type="noConversion"/>
  <pageMargins left="0.4" right="0.37" top="0.4" bottom="0.36" header="0.3" footer="0.3"/>
  <pageSetup scale="39" orientation="landscape"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F75"/>
  <sheetViews>
    <sheetView workbookViewId="0">
      <selection sqref="A1:E1"/>
    </sheetView>
  </sheetViews>
  <sheetFormatPr defaultRowHeight="13.2" x14ac:dyDescent="0.25"/>
  <cols>
    <col min="1" max="2" width="23.5546875" customWidth="1"/>
    <col min="3" max="3" width="2.33203125" customWidth="1"/>
    <col min="4" max="4" width="23.5546875" customWidth="1"/>
    <col min="5" max="5" width="24.44140625" customWidth="1"/>
  </cols>
  <sheetData>
    <row r="1" spans="1:5" ht="17.399999999999999" x14ac:dyDescent="0.3">
      <c r="A1" s="257" t="str">
        <f>+"New-Ark Area Emmaus "&amp;TeamInfo!D5&amp;" "&amp;TeamInfo!D6</f>
        <v xml:space="preserve">New-Ark Area Emmaus Wo/Men's Walk #NN </v>
      </c>
      <c r="B1" s="257"/>
      <c r="C1" s="257"/>
      <c r="D1" s="257"/>
      <c r="E1" s="257"/>
    </row>
    <row r="2" spans="1:5" ht="17.399999999999999" x14ac:dyDescent="0.3">
      <c r="A2" s="68" t="s">
        <v>290</v>
      </c>
      <c r="B2" s="21"/>
      <c r="C2" s="21"/>
      <c r="D2" s="282">
        <f>+Schedule!B27</f>
        <v>36586</v>
      </c>
      <c r="E2" s="282"/>
    </row>
    <row r="3" spans="1:5" ht="6" customHeight="1" x14ac:dyDescent="0.25">
      <c r="A3" s="14"/>
    </row>
    <row r="4" spans="1:5" ht="16.8" x14ac:dyDescent="0.3">
      <c r="A4" s="69" t="s">
        <v>27</v>
      </c>
      <c r="B4" s="74" t="s">
        <v>26</v>
      </c>
    </row>
    <row r="5" spans="1:5" ht="16.8" x14ac:dyDescent="0.3">
      <c r="A5" s="69" t="s">
        <v>3</v>
      </c>
      <c r="B5" s="92" t="str">
        <f>+Schedule!C27</f>
        <v>&lt;ATL4 Name&gt;</v>
      </c>
    </row>
    <row r="6" spans="1:5" ht="16.8" x14ac:dyDescent="0.3">
      <c r="A6" s="69" t="s">
        <v>288</v>
      </c>
      <c r="B6" s="92"/>
      <c r="C6" s="69" t="s">
        <v>289</v>
      </c>
      <c r="D6" s="69"/>
      <c r="E6" s="69"/>
    </row>
    <row r="7" spans="1:5" ht="16.8" x14ac:dyDescent="0.3">
      <c r="A7" s="69" t="s">
        <v>279</v>
      </c>
      <c r="B7" s="103" t="str">
        <f>CONCATENATE("     "&amp;+Schedule!E27&amp;",  "&amp;+Schedule!E28&amp;",  "&amp;+Schedule!E29,IF(ISBLANK(Schedule!E30),"",",  "&amp;Schedule!E30))</f>
        <v xml:space="preserve">     &lt;TL5 Name&gt;,  &lt;TL6 Name&gt;,  &lt;ATL3 Name&gt;</v>
      </c>
      <c r="C7" s="92"/>
      <c r="D7" s="92"/>
      <c r="E7" s="17" t="str">
        <f>IF(ISBLANK(Schedule!E30),"",Schedule!E30)</f>
        <v/>
      </c>
    </row>
    <row r="8" spans="1:5" ht="16.8" x14ac:dyDescent="0.3">
      <c r="A8" s="69" t="s">
        <v>25</v>
      </c>
      <c r="B8" s="95"/>
      <c r="C8" s="95"/>
      <c r="D8" s="95"/>
    </row>
    <row r="9" spans="1:5" ht="16.8" x14ac:dyDescent="0.3">
      <c r="A9" s="69" t="s">
        <v>28</v>
      </c>
      <c r="B9" s="1"/>
      <c r="C9" s="73"/>
      <c r="D9" s="73"/>
      <c r="E9" s="73"/>
    </row>
    <row r="10" spans="1:5" ht="16.8" x14ac:dyDescent="0.3">
      <c r="A10" s="69" t="s">
        <v>29</v>
      </c>
      <c r="B10" s="92" t="str">
        <f>+TeamInfo!F27</f>
        <v>&lt;LD Name&gt;</v>
      </c>
      <c r="C10" s="69" t="s">
        <v>333</v>
      </c>
      <c r="D10" s="69"/>
      <c r="E10" s="73"/>
    </row>
    <row r="11" spans="1:5" s="224" customFormat="1" ht="16.8" x14ac:dyDescent="0.3">
      <c r="A11" s="225"/>
      <c r="B11" s="223"/>
      <c r="C11" s="225"/>
      <c r="D11" s="225" t="s">
        <v>450</v>
      </c>
    </row>
    <row r="12" spans="1:5" ht="6" customHeight="1" x14ac:dyDescent="0.3">
      <c r="A12" s="69"/>
      <c r="B12" s="17"/>
      <c r="C12" s="69"/>
      <c r="D12" s="69"/>
      <c r="E12" s="73"/>
    </row>
    <row r="13" spans="1:5" ht="16.8" x14ac:dyDescent="0.3">
      <c r="A13" s="69" t="s">
        <v>24</v>
      </c>
      <c r="B13" s="95"/>
      <c r="C13" s="69"/>
      <c r="D13" s="69"/>
      <c r="E13" s="69"/>
    </row>
    <row r="14" spans="1:5" ht="16.8" x14ac:dyDescent="0.3">
      <c r="A14" s="69" t="s">
        <v>36</v>
      </c>
      <c r="B14" s="92" t="str">
        <f>+TeamInfo!F28</f>
        <v>&lt;ALD1 Name&gt;</v>
      </c>
      <c r="C14" s="69" t="s">
        <v>282</v>
      </c>
      <c r="D14" s="69"/>
      <c r="E14" s="69"/>
    </row>
    <row r="15" spans="1:5" ht="16.8" x14ac:dyDescent="0.3">
      <c r="A15" s="69" t="s">
        <v>281</v>
      </c>
      <c r="B15" s="92" t="str">
        <f>+TeamInfo!F28</f>
        <v>&lt;ALD1 Name&gt;</v>
      </c>
      <c r="C15" s="69" t="s">
        <v>436</v>
      </c>
      <c r="D15" s="69"/>
      <c r="E15" s="69"/>
    </row>
    <row r="16" spans="1:5" ht="16.8" x14ac:dyDescent="0.3">
      <c r="A16" s="69" t="s">
        <v>37</v>
      </c>
      <c r="B16" s="92" t="str">
        <f>+TeamInfo!F29</f>
        <v>&lt;ALD2 Name&gt;</v>
      </c>
      <c r="C16" s="69"/>
      <c r="D16" s="69"/>
      <c r="E16" s="69"/>
    </row>
    <row r="17" spans="1:6" ht="6" customHeight="1" x14ac:dyDescent="0.3">
      <c r="A17" s="69"/>
      <c r="B17" s="92"/>
      <c r="C17" s="69"/>
      <c r="D17" s="69"/>
      <c r="E17" s="69"/>
    </row>
    <row r="18" spans="1:6" ht="16.8" x14ac:dyDescent="0.3">
      <c r="A18" s="69" t="s">
        <v>331</v>
      </c>
      <c r="B18" s="92" t="str">
        <f>+TeamInfo!$F$30</f>
        <v>&lt;ALD3 Name&gt;</v>
      </c>
      <c r="C18" s="135" t="s">
        <v>439</v>
      </c>
      <c r="D18" s="135"/>
      <c r="E18" s="135"/>
      <c r="F18" s="69"/>
    </row>
    <row r="19" spans="1:6" ht="16.8" x14ac:dyDescent="0.3">
      <c r="A19" s="69" t="s">
        <v>329</v>
      </c>
      <c r="B19" s="92"/>
      <c r="C19" s="109" t="s">
        <v>367</v>
      </c>
      <c r="D19" s="69"/>
      <c r="E19" s="69"/>
      <c r="F19" s="69"/>
    </row>
    <row r="20" spans="1:6" ht="16.8" x14ac:dyDescent="0.3">
      <c r="A20" s="69"/>
      <c r="B20" s="92"/>
      <c r="C20" s="69" t="s">
        <v>330</v>
      </c>
      <c r="D20" s="69"/>
      <c r="E20" s="69"/>
      <c r="F20" s="69"/>
    </row>
    <row r="21" spans="1:6" ht="6" customHeight="1" x14ac:dyDescent="0.3">
      <c r="A21" s="73"/>
      <c r="B21" s="95"/>
      <c r="C21" s="69"/>
      <c r="D21" s="69"/>
      <c r="E21" s="69"/>
      <c r="F21" s="69"/>
    </row>
    <row r="22" spans="1:6" ht="16.8" x14ac:dyDescent="0.3">
      <c r="A22" s="69" t="s">
        <v>126</v>
      </c>
      <c r="B22" s="92" t="str">
        <f>+TeamInfo!$F$32</f>
        <v>&lt;TD Name&gt;</v>
      </c>
      <c r="C22" s="69"/>
      <c r="D22" s="92" t="str">
        <f>IF(ISBLANK(TeamInfo!$F$33),"",TeamInfo!$F$33)</f>
        <v>&lt;TD2 Name&gt;</v>
      </c>
      <c r="E22" s="69"/>
      <c r="F22" s="69"/>
    </row>
    <row r="23" spans="1:6" s="95" customFormat="1" ht="16.8" x14ac:dyDescent="0.3">
      <c r="A23" s="69" t="str">
        <f>"     Email talk to "&amp;TeamInfo!$D$9&amp;"td@new-arkemmaus.org with copy to "&amp;TeamInfo!$D$9&amp;"ld@new-arkemmaus.org"</f>
        <v xml:space="preserve">     Email talk to mwtd@new-arkemmaus.org with copy to mwld@new-arkemmaus.org</v>
      </c>
      <c r="B23" s="69"/>
      <c r="C23" s="69"/>
      <c r="D23" s="69"/>
      <c r="E23" s="69"/>
    </row>
    <row r="24" spans="1:6" ht="6" customHeight="1" x14ac:dyDescent="0.3">
      <c r="A24" s="69"/>
      <c r="B24" s="17"/>
    </row>
    <row r="25" spans="1:6" ht="16.8" x14ac:dyDescent="0.3">
      <c r="A25" s="69" t="s">
        <v>127</v>
      </c>
      <c r="B25" s="69" t="s">
        <v>386</v>
      </c>
      <c r="C25" s="69"/>
      <c r="D25" s="69"/>
      <c r="E25" s="69"/>
    </row>
    <row r="26" spans="1:6" ht="6" customHeight="1" x14ac:dyDescent="0.3">
      <c r="A26" s="69"/>
      <c r="B26" s="69"/>
      <c r="C26" s="69"/>
      <c r="D26" s="69"/>
      <c r="E26" s="69"/>
    </row>
    <row r="27" spans="1:6" ht="16.8" x14ac:dyDescent="0.3">
      <c r="A27" s="69" t="s">
        <v>56</v>
      </c>
      <c r="B27" s="92" t="str">
        <f>+TeamInfo!F30</f>
        <v>&lt;ALD3 Name&gt;</v>
      </c>
      <c r="C27" s="200" t="s">
        <v>432</v>
      </c>
      <c r="D27" s="95"/>
    </row>
    <row r="28" spans="1:6" ht="6" customHeight="1" x14ac:dyDescent="0.3">
      <c r="A28" s="72"/>
      <c r="B28" s="95"/>
      <c r="C28" s="95"/>
      <c r="D28" s="95"/>
    </row>
    <row r="29" spans="1:6" ht="16.8" x14ac:dyDescent="0.3">
      <c r="A29" s="69" t="s">
        <v>31</v>
      </c>
      <c r="B29" s="92" t="str">
        <f>+TeamInfo!F21</f>
        <v>&lt;SD Name&gt;</v>
      </c>
      <c r="C29" s="92"/>
      <c r="D29" s="92" t="str">
        <f>IF(ISBLANK(TeamInfo!F22),"",TeamInfo!F22)</f>
        <v>&lt;SD2 Name&gt;</v>
      </c>
    </row>
    <row r="30" spans="1:6" ht="6" customHeight="1" x14ac:dyDescent="0.3">
      <c r="A30" s="72"/>
      <c r="B30" s="95"/>
      <c r="C30" s="95"/>
      <c r="D30" s="95"/>
    </row>
    <row r="31" spans="1:6" ht="16.8" x14ac:dyDescent="0.3">
      <c r="A31" s="69" t="s">
        <v>32</v>
      </c>
      <c r="B31" s="92" t="str">
        <f>+TeamInfo!F34</f>
        <v>&lt;MD Name&gt;</v>
      </c>
      <c r="C31" s="92"/>
      <c r="D31" s="92" t="str">
        <f>IF(ISBLANK(TeamInfo!F35),"",TeamInfo!F35)</f>
        <v>&lt;MD2 Name&gt;</v>
      </c>
    </row>
    <row r="32" spans="1:6" ht="6" customHeight="1" x14ac:dyDescent="0.3">
      <c r="A32" s="73"/>
    </row>
    <row r="33" spans="1:5" s="73" customFormat="1" ht="16.8" x14ac:dyDescent="0.3">
      <c r="A33" s="69" t="s">
        <v>33</v>
      </c>
      <c r="B33" s="69" t="s">
        <v>107</v>
      </c>
      <c r="C33" s="69"/>
      <c r="D33" s="69"/>
      <c r="E33" s="69"/>
    </row>
    <row r="34" spans="1:5" s="73" customFormat="1" ht="16.8" x14ac:dyDescent="0.3">
      <c r="A34" s="285" t="s">
        <v>108</v>
      </c>
      <c r="B34" s="285"/>
      <c r="C34" s="285"/>
      <c r="D34" s="285"/>
      <c r="E34" s="285"/>
    </row>
    <row r="35" spans="1:5" s="73" customFormat="1" ht="16.8" x14ac:dyDescent="0.3">
      <c r="A35" s="285" t="s">
        <v>274</v>
      </c>
      <c r="B35" s="285"/>
      <c r="C35" s="285"/>
      <c r="D35" s="285"/>
      <c r="E35" s="285"/>
    </row>
    <row r="36" spans="1:5" s="73" customFormat="1" ht="16.8" x14ac:dyDescent="0.3">
      <c r="A36" s="285" t="s">
        <v>109</v>
      </c>
      <c r="B36" s="285"/>
      <c r="C36" s="285"/>
      <c r="D36" s="285"/>
      <c r="E36" s="285"/>
    </row>
    <row r="37" spans="1:5" s="73" customFormat="1" ht="16.8" x14ac:dyDescent="0.3">
      <c r="A37" s="285" t="s">
        <v>110</v>
      </c>
      <c r="B37" s="285"/>
      <c r="C37" s="285"/>
      <c r="D37" s="285"/>
      <c r="E37" s="285"/>
    </row>
    <row r="38" spans="1:5" ht="16.8" x14ac:dyDescent="0.25">
      <c r="A38" s="285" t="s">
        <v>347</v>
      </c>
      <c r="B38" s="285"/>
      <c r="C38" s="285"/>
      <c r="D38" s="285"/>
      <c r="E38" s="285"/>
    </row>
    <row r="39" spans="1:5" s="73" customFormat="1" ht="16.8" x14ac:dyDescent="0.3">
      <c r="A39" s="283" t="s">
        <v>275</v>
      </c>
      <c r="B39" s="283"/>
      <c r="C39" s="283"/>
      <c r="D39" s="283"/>
      <c r="E39" s="283"/>
    </row>
    <row r="40" spans="1:5" ht="6" customHeight="1" thickBot="1" x14ac:dyDescent="0.3">
      <c r="A40" s="16"/>
    </row>
    <row r="41" spans="1:5" s="75" customFormat="1" ht="25.2" customHeight="1" thickBot="1" x14ac:dyDescent="0.3">
      <c r="A41" s="204" t="str">
        <f>+Schedule!D27</f>
        <v>Body of Christ</v>
      </c>
      <c r="B41" s="205" t="str">
        <f>+Schedule!D28</f>
        <v>&lt;TL7 Name&gt;</v>
      </c>
      <c r="C41" s="206" t="s">
        <v>20</v>
      </c>
      <c r="D41" s="207" t="str">
        <f>+Schedule!D29</f>
        <v>Perseverance</v>
      </c>
      <c r="E41" s="208" t="str">
        <f>+Schedule!D30</f>
        <v>&lt;LD Name&gt;</v>
      </c>
    </row>
    <row r="42" spans="1:5" s="73" customFormat="1" ht="16.8" x14ac:dyDescent="0.3">
      <c r="A42" s="80" t="s">
        <v>21</v>
      </c>
      <c r="B42" s="96" t="str">
        <f>IF(ISBLANK(VLOOKUP("Thurs.#5-1",Previews!A9:E31,5,FALSE)),"",VLOOKUP("Thurs.#5-1",Previews!A9:E31,5,FALSE))</f>
        <v>&lt;TL6 Name&gt;</v>
      </c>
      <c r="C42" s="81"/>
      <c r="D42" s="82" t="s">
        <v>21</v>
      </c>
      <c r="E42" s="98" t="str">
        <f>IF(ISBLANK(VLOOKUP("Thurs.#5-2",Previews!A9:E31,5,FALSE)),"",VLOOKUP("Thurs.#5-2",Previews!A9:E31,5,FALSE))</f>
        <v>&lt;ALD1 Name&gt;</v>
      </c>
    </row>
    <row r="43" spans="1:5" s="73" customFormat="1" ht="16.8" x14ac:dyDescent="0.3">
      <c r="A43" s="82" t="s">
        <v>162</v>
      </c>
      <c r="B43" s="78" t="str">
        <f>IF(ISBLANK(VLOOKUP("Thurs.#5-1",Previews!A9:C31,3,FALSE)),"",VLOOKUP("Thurs.#5-1",Previews!A9:C31,3,FALSE))</f>
        <v>Pp. 36, 74</v>
      </c>
      <c r="C43" s="81"/>
      <c r="D43" s="82" t="s">
        <v>162</v>
      </c>
      <c r="E43" s="78" t="str">
        <f>IF(ISBLANK(VLOOKUP("Thurs.#5-2",Previews!A9:C31,3,FALSE)),"",VLOOKUP("Thurs.#5-2",Previews!A9:C31,3,FALSE))</f>
        <v>Pp. 36, 74</v>
      </c>
    </row>
    <row r="44" spans="1:5" s="73" customFormat="1" ht="16.8" x14ac:dyDescent="0.3">
      <c r="A44" s="82" t="s">
        <v>200</v>
      </c>
      <c r="B44" s="84" t="s">
        <v>22</v>
      </c>
      <c r="C44" s="85"/>
      <c r="D44" s="82" t="s">
        <v>200</v>
      </c>
      <c r="E44" s="84" t="s">
        <v>23</v>
      </c>
    </row>
    <row r="45" spans="1:5" s="73" customFormat="1" ht="16.8" x14ac:dyDescent="0.3">
      <c r="A45" s="99" t="str">
        <f>IF(ISBLANK(VLOOKUP("Thurs.#5-1",Previews!$A$9:$G$31,7,FALSE)),"",VLOOKUP("Thurs.#5-1",Previews!$A$9:$G$31,7,FALSE))</f>
        <v>&lt;ALD3 Name&gt;</v>
      </c>
      <c r="B45" s="98" t="str">
        <f>IF(ISBLANK(VLOOKUP("Thurs.#5-1",Previews!$A$9:$H$31,8,FALSE)),"",VLOOKUP("Thurs.#5-1",Previews!$A$9:$H$31,8,FALSE))</f>
        <v>&lt;ALD2 Name&gt;</v>
      </c>
      <c r="C45" s="85"/>
      <c r="D45" s="99" t="str">
        <f>IF(ISBLANK(VLOOKUP("Thurs.#5-2",Previews!$A$9:$G$31,7,FALSE)),"",VLOOKUP("Thurs.#5-2",Previews!$A$9:$G$31,7,FALSE))</f>
        <v>&lt;ALD1 Name&gt;</v>
      </c>
      <c r="E45" s="98" t="str">
        <f>IF(ISBLANK(VLOOKUP("Thurs.#5-2",Previews!$A$9:$H$31,8,FALSE)),"",VLOOKUP("Thurs.#5-2",Previews!$A$9:$H$31,8,FALSE))</f>
        <v/>
      </c>
    </row>
    <row r="46" spans="1:5" s="73" customFormat="1" ht="16.8" x14ac:dyDescent="0.3">
      <c r="A46" s="99" t="str">
        <f>IF(ISBLANK(VLOOKUP("Thurs.#5-1",Previews!$A$9:$I$31,9,FALSE)),"",VLOOKUP("Thurs.#5-1",Previews!$A$9:$I$31,9,FALSE))</f>
        <v>&lt;TL1 Name&gt;</v>
      </c>
      <c r="B46" s="98" t="str">
        <f>IF(ISBLANK(VLOOKUP("Thurs.#5-1",Previews!$A$9:$J$31,10,FALSE)),"",VLOOKUP("Thurs.#5-1",Previews!$A$9:$J$31,10,FALSE))</f>
        <v>&lt;TL2 Name&gt;</v>
      </c>
      <c r="C46" s="85"/>
      <c r="D46" s="99" t="str">
        <f>IF(ISBLANK(VLOOKUP("Thurs.#5-2",Previews!$A$9:$I$31,9,FALSE)),"",VLOOKUP("Thurs.#5-2",Previews!$A$9:$I$31,9,FALSE))</f>
        <v>&lt;ATL1 Name&gt;</v>
      </c>
      <c r="E46" s="98" t="str">
        <f>IF(ISBLANK(VLOOKUP("Thurs.#5-2",Previews!$A$9:$J$31,10,FALSE)),"",VLOOKUP("Thurs.#5-2",Previews!$A$9:$J$31,10,FALSE))</f>
        <v>&lt;ATL2 Name&gt;</v>
      </c>
    </row>
    <row r="47" spans="1:5" s="73" customFormat="1" ht="16.8" x14ac:dyDescent="0.3">
      <c r="A47" s="99" t="str">
        <f>IF(ISBLANK(VLOOKUP("Thurs.#5-1",Previews!$A$9:$K$31,11,FALSE)),"",VLOOKUP("Thurs.#5-1",Previews!$A$9:$K$31,11,FALSE))</f>
        <v>&lt;ATL3 Name&gt;</v>
      </c>
      <c r="B47" s="98" t="str">
        <f>IF(ISBLANK(VLOOKUP("Thurs.#5-1",Previews!$A$9:$L$31,12,FALSE)),"",VLOOKUP("Thurs.#5-1",Previews!$A$9:$L$31,12,FALSE))</f>
        <v>&lt;ATL4 Name&gt;</v>
      </c>
      <c r="C47" s="85"/>
      <c r="D47" s="99" t="str">
        <f>IF(ISBLANK(VLOOKUP("Thurs.#5-2",Previews!$A$9:$K$31,11,FALSE)),"",VLOOKUP("Thurs.#5-2",Previews!$A$9:$K$31,11,FALSE))</f>
        <v>&lt;TL3 Name&gt;</v>
      </c>
      <c r="E47" s="98" t="str">
        <f>IF(ISBLANK(VLOOKUP("Thurs.#5-2",Previews!$A$9:$L$31,12,FALSE)),"",VLOOKUP("Thurs.#5-2",Previews!$A$9:$L$31,12,FALSE))</f>
        <v>&lt;TL4 Name&gt;</v>
      </c>
    </row>
    <row r="48" spans="1:5" s="73" customFormat="1" ht="14.25" customHeight="1" x14ac:dyDescent="0.3">
      <c r="A48" s="99" t="str">
        <f>IF(ISBLANK(VLOOKUP("Thurs.#5-1",Previews!$A$9:$M$31,13,FALSE)),"",VLOOKUP("Thurs.#5-1",Previews!$A$9:$M$31,13,FALSE))</f>
        <v>&lt;TL5 Name&gt;</v>
      </c>
      <c r="B48" s="98" t="str">
        <f>IF(ISBLANK(VLOOKUP("Thurs.#5-1",Previews!$A$9:$N$31,14,FALSE)),"",VLOOKUP("Thurs.#5-1",Previews!$A$9:$N$31,14,FALSE))</f>
        <v/>
      </c>
      <c r="C48" s="87"/>
      <c r="D48" s="99" t="str">
        <f>IF(ISBLANK(VLOOKUP("Thurs.#5-2",Previews!$A$9:$M$31,13,FALSE)),"",VLOOKUP("Thurs.#5-2",Previews!$A$9:$M$31,13,FALSE))</f>
        <v>&lt;ATL5 Name&gt;</v>
      </c>
      <c r="E48" s="98" t="str">
        <f>IF(ISBLANK(VLOOKUP("Thurs.#5-2",Previews!$A$9:$N$31,14,FALSE)),"",VLOOKUP("Thurs.#5-2",Previews!$A$9:$N$31,14,FALSE))</f>
        <v/>
      </c>
    </row>
    <row r="49" spans="1:5" s="73" customFormat="1" ht="15" customHeight="1" x14ac:dyDescent="0.3">
      <c r="A49" s="99" t="str">
        <f>IF(ISBLANK(VLOOKUP("Thurs.#5-1",Previews!$A$9:$O$31,15,FALSE)),"",VLOOKUP("Thurs.#5-1",Previews!$A$9:$O$31,15,FALSE))</f>
        <v>&lt;BR Name&gt;</v>
      </c>
      <c r="B49" s="98" t="str">
        <f>IF(ISBLANK(VLOOKUP("Thurs.#5-1",Previews!$A$9:$P$31,16,FALSE)),"",VLOOKUP("Thurs.#5-1",Previews!$A$9:$P$31,16,FALSE))</f>
        <v>&lt;MD Name&gt;</v>
      </c>
      <c r="C49" s="87"/>
      <c r="D49" s="99" t="str">
        <f>IF(ISBLANK(VLOOKUP("Thurs.#5-2",Previews!$A$9:$O$31,15,FALSE)),"",VLOOKUP("Thurs.#5-2",Previews!$A$9:$O$31,15,FALSE))</f>
        <v>&lt;TD Name&gt;</v>
      </c>
      <c r="E49" s="98" t="str">
        <f>IF(ISBLANK(VLOOKUP("Thurs.#5-2",Previews!$A$9:$P$31,16,FALSE)),"",VLOOKUP("Thurs.#5-2",Previews!$A$9:$P$31,16,FALSE))</f>
        <v>&lt;SD Name&gt;</v>
      </c>
    </row>
    <row r="50" spans="1:5" s="73" customFormat="1" ht="15" customHeight="1" thickBot="1" x14ac:dyDescent="0.35">
      <c r="A50" s="101" t="str">
        <f>IF(ISBLANK(VLOOKUP("Thurs.#5-1",Previews!$A$9:$Q$31,17,FALSE)),"",VLOOKUP("Thurs.#5-1",Previews!$A$9:$Q$31,17,FALSE))</f>
        <v>&lt;SD2 Name&gt;</v>
      </c>
      <c r="B50" s="102" t="str">
        <f>IF(ISBLANK(VLOOKUP("Thurs.#5-1",Previews!$A$9:$R$31,18,FALSE)),"",VLOOKUP("Thurs.#5-1",Previews!$A$9:$R$31,18,FALSE))</f>
        <v>&lt;TD2 Name&gt;</v>
      </c>
      <c r="C50" s="87"/>
      <c r="D50" s="101" t="str">
        <f>IF(ISBLANK(VLOOKUP("Thurs.#5-2",Previews!$A$9:$Q$31,17,FALSE)),"",VLOOKUP("Thurs.#5-2",Previews!$A$9:$Q$31,17,FALSE))</f>
        <v>&lt;MD2 Name&gt;</v>
      </c>
      <c r="E50" s="102" t="str">
        <f>IF(ISBLANK(VLOOKUP("Thurs.#5-2",Previews!$A$9:$R$31,18,FALSE)),"",VLOOKUP("Thurs.#5-2",Previews!$A$9:$R$31,18,FALSE))</f>
        <v/>
      </c>
    </row>
    <row r="51" spans="1:5" ht="6" customHeight="1" x14ac:dyDescent="0.25">
      <c r="A51" s="63"/>
      <c r="B51" s="63"/>
      <c r="C51" s="62"/>
      <c r="D51" s="63"/>
      <c r="E51" s="63"/>
    </row>
    <row r="52" spans="1:5" ht="16.8" x14ac:dyDescent="0.3">
      <c r="A52" s="90" t="s">
        <v>34</v>
      </c>
      <c r="B52" s="92" t="str">
        <f>IF(ISBLANK(VLOOKUP("Thurs.#5-1",Previews!A9:F31,6,FALSE)),"",VLOOKUP("Thurs.#5-1",Previews!A9:F31,6,FALSE))</f>
        <v>&lt;ALD2 Name&gt;</v>
      </c>
      <c r="C52" s="92"/>
      <c r="D52" s="95"/>
    </row>
    <row r="53" spans="1:5" ht="16.8" x14ac:dyDescent="0.3">
      <c r="A53" s="69" t="s">
        <v>35</v>
      </c>
      <c r="B53" s="92" t="str">
        <f>IF(ISBLANK(VLOOKUP("Thurs.#5-1",Previews!A9:G31,7,FALSE)),"",VLOOKUP("Thurs.#5-1",Previews!A9:G31,7,FALSE))</f>
        <v>&lt;ALD3 Name&gt;</v>
      </c>
      <c r="C53" s="92"/>
      <c r="D53" s="92" t="str">
        <f>IF(ISBLANK(VLOOKUP("Thurs.#5-2",Previews!A9:G31,7,FALSE)),"",VLOOKUP("Thurs.#5-2",Previews!A9:G31,7,FALSE))</f>
        <v>&lt;ALD1 Name&gt;</v>
      </c>
    </row>
    <row r="54" spans="1:5" ht="9" customHeight="1" x14ac:dyDescent="0.3">
      <c r="A54" s="69"/>
      <c r="B54" s="17"/>
      <c r="C54" s="17"/>
    </row>
    <row r="55" spans="1:5" s="168" customFormat="1" ht="16.8" x14ac:dyDescent="0.3">
      <c r="A55" s="172" t="s">
        <v>381</v>
      </c>
      <c r="B55" s="95"/>
      <c r="C55" s="95"/>
      <c r="D55" s="95"/>
      <c r="E55" s="95"/>
    </row>
    <row r="56" spans="1:5" ht="16.8" x14ac:dyDescent="0.3">
      <c r="A56" s="69" t="s">
        <v>58</v>
      </c>
    </row>
    <row r="57" spans="1:5" ht="9" customHeight="1" x14ac:dyDescent="0.3">
      <c r="A57" s="69"/>
      <c r="B57" s="17"/>
      <c r="C57" s="17"/>
    </row>
    <row r="58" spans="1:5" ht="16.8" x14ac:dyDescent="0.3">
      <c r="A58" s="69" t="s">
        <v>39</v>
      </c>
      <c r="B58" s="92" t="str">
        <f>+TeamInfo!F27</f>
        <v>&lt;LD Name&gt;</v>
      </c>
    </row>
    <row r="59" spans="1:5" ht="16.8" x14ac:dyDescent="0.3">
      <c r="A59" s="72" t="s">
        <v>59</v>
      </c>
      <c r="B59" s="15"/>
    </row>
    <row r="60" spans="1:5" ht="16.8" x14ac:dyDescent="0.3">
      <c r="A60" s="72" t="s">
        <v>287</v>
      </c>
      <c r="B60" s="15"/>
    </row>
    <row r="61" spans="1:5" ht="16.8" x14ac:dyDescent="0.3">
      <c r="A61" s="72" t="s">
        <v>41</v>
      </c>
      <c r="B61" s="15"/>
    </row>
    <row r="62" spans="1:5" ht="16.8" x14ac:dyDescent="0.3">
      <c r="A62" s="72" t="s">
        <v>42</v>
      </c>
      <c r="B62" s="15"/>
    </row>
    <row r="63" spans="1:5" ht="16.8" x14ac:dyDescent="0.3">
      <c r="A63" s="72" t="s">
        <v>43</v>
      </c>
      <c r="B63" s="15"/>
    </row>
    <row r="64" spans="1:5" ht="16.8" x14ac:dyDescent="0.3">
      <c r="A64" s="72" t="str">
        <f>"Speakers - Final talk copies to "&amp;TeamInfo!F28&amp;" and TDs no later than the last team meeting"</f>
        <v>Speakers - Final talk copies to &lt;ALD1 Name&gt; and TDs no later than the last team meeting</v>
      </c>
      <c r="B64" s="15"/>
    </row>
    <row r="65" spans="1:5" ht="16.8" x14ac:dyDescent="0.3">
      <c r="A65" s="72" t="s">
        <v>225</v>
      </c>
      <c r="B65" s="15"/>
    </row>
    <row r="66" spans="1:5" ht="9" customHeight="1" x14ac:dyDescent="0.3">
      <c r="A66" s="72"/>
      <c r="B66" s="15"/>
    </row>
    <row r="67" spans="1:5" ht="16.8" x14ac:dyDescent="0.3">
      <c r="A67" s="69" t="s">
        <v>44</v>
      </c>
      <c r="B67" s="15"/>
    </row>
    <row r="68" spans="1:5" ht="16.8" x14ac:dyDescent="0.3">
      <c r="A68" s="105" t="s">
        <v>3</v>
      </c>
      <c r="B68" s="92" t="str">
        <f>+Schedule!C31</f>
        <v>&lt;ATL5 Name&gt;</v>
      </c>
      <c r="C68" s="92"/>
      <c r="D68" s="92"/>
      <c r="E68" s="17"/>
    </row>
    <row r="69" spans="1:5" ht="16.8" x14ac:dyDescent="0.3">
      <c r="A69" s="105" t="s">
        <v>45</v>
      </c>
      <c r="B69" s="92">
        <f>+Schedule!D32</f>
        <v>0</v>
      </c>
      <c r="C69" s="92"/>
      <c r="D69" s="92" t="str">
        <f>+Schedule!D34</f>
        <v/>
      </c>
      <c r="E69" s="17" t="e">
        <f>+Schedule!#REF!</f>
        <v>#REF!</v>
      </c>
    </row>
    <row r="70" spans="1:5" ht="16.8" x14ac:dyDescent="0.3">
      <c r="A70" s="105" t="s">
        <v>46</v>
      </c>
      <c r="B70" s="103" t="str">
        <f>CONCATENATE("     "&amp;+Schedule!E31&amp;",  "&amp;+Schedule!E32&amp;",  "&amp;+Schedule!E33,IF(ISBLANK(Schedule!E34),"",",  "&amp;Schedule!E34))</f>
        <v xml:space="preserve">     &lt;TL7 Name&gt;,  &lt;LD Name&gt;,  &lt;ATL4 Name&gt;,  &lt;TD Name&gt;</v>
      </c>
      <c r="C70" s="92"/>
      <c r="D70" s="92"/>
      <c r="E70" s="17"/>
    </row>
    <row r="71" spans="1:5" ht="9" customHeight="1" x14ac:dyDescent="0.3">
      <c r="A71" s="72"/>
      <c r="B71" s="15"/>
    </row>
    <row r="72" spans="1:5" ht="16.8" x14ac:dyDescent="0.3">
      <c r="A72" s="69" t="s">
        <v>47</v>
      </c>
      <c r="B72" s="95"/>
      <c r="C72" s="95"/>
      <c r="D72" s="95"/>
    </row>
    <row r="73" spans="1:5" ht="16.8" x14ac:dyDescent="0.3">
      <c r="A73" s="69" t="s">
        <v>48</v>
      </c>
      <c r="B73" s="92" t="str">
        <f>+TeamInfo!F27</f>
        <v>&lt;LD Name&gt;</v>
      </c>
      <c r="C73" s="95"/>
      <c r="D73" s="95"/>
    </row>
    <row r="75" spans="1:5" s="211" customFormat="1" ht="16.8" x14ac:dyDescent="0.3">
      <c r="A75" s="105" t="s">
        <v>444</v>
      </c>
      <c r="B75" s="222"/>
      <c r="C75" s="95"/>
      <c r="D75" s="95"/>
      <c r="E75" s="95"/>
    </row>
  </sheetData>
  <mergeCells count="8">
    <mergeCell ref="A39:E39"/>
    <mergeCell ref="D2:E2"/>
    <mergeCell ref="A1:E1"/>
    <mergeCell ref="A34:E34"/>
    <mergeCell ref="A35:E35"/>
    <mergeCell ref="A36:E36"/>
    <mergeCell ref="A37:E37"/>
    <mergeCell ref="A38:E38"/>
  </mergeCells>
  <phoneticPr fontId="6" type="noConversion"/>
  <pageMargins left="0.5" right="0.26" top="0.35" bottom="0.35" header="0.25" footer="0.25"/>
  <pageSetup orientation="portrait" r:id="rId1"/>
  <headerFooter alignWithMargins="0"/>
  <rowBreaks count="1" manualBreakCount="1">
    <brk id="53" max="1638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C897A3-4E64-467A-9D5C-BABE60EE714B}">
  <dimension ref="A1:F17"/>
  <sheetViews>
    <sheetView workbookViewId="0">
      <selection sqref="A1:E1"/>
    </sheetView>
  </sheetViews>
  <sheetFormatPr defaultRowHeight="13.2" x14ac:dyDescent="0.25"/>
  <cols>
    <col min="1" max="2" width="23.5546875" style="211" customWidth="1"/>
    <col min="3" max="3" width="2.33203125" style="211" customWidth="1"/>
    <col min="4" max="5" width="23.5546875" style="211" customWidth="1"/>
    <col min="6" max="16384" width="8.88671875" style="211"/>
  </cols>
  <sheetData>
    <row r="1" spans="1:6" s="104" customFormat="1" ht="18" x14ac:dyDescent="0.35">
      <c r="A1" s="257" t="str">
        <f>+"New-Ark Area Emmaus "&amp;TeamInfo!D5&amp;" "&amp;TeamInfo!D6</f>
        <v xml:space="preserve">New-Ark Area Emmaus Wo/Men's Walk #NN </v>
      </c>
      <c r="B1" s="257"/>
      <c r="C1" s="257"/>
      <c r="D1" s="257"/>
      <c r="E1" s="257"/>
    </row>
    <row r="2" spans="1:6" ht="17.399999999999999" x14ac:dyDescent="0.3">
      <c r="A2" s="213" t="s">
        <v>295</v>
      </c>
      <c r="B2" s="212"/>
      <c r="C2" s="212"/>
      <c r="D2" s="282">
        <f>+Schedule!B31</f>
        <v>36600</v>
      </c>
      <c r="E2" s="282"/>
    </row>
    <row r="3" spans="1:6" ht="6" customHeight="1" x14ac:dyDescent="0.25">
      <c r="A3" s="14"/>
    </row>
    <row r="4" spans="1:6" ht="16.8" x14ac:dyDescent="0.3">
      <c r="A4" s="214" t="s">
        <v>364</v>
      </c>
      <c r="B4" s="284" t="s">
        <v>394</v>
      </c>
      <c r="C4" s="284"/>
      <c r="D4" s="284"/>
      <c r="E4" s="284"/>
    </row>
    <row r="5" spans="1:6" ht="16.8" x14ac:dyDescent="0.3">
      <c r="A5" s="182" t="s">
        <v>3</v>
      </c>
      <c r="B5" s="92" t="str">
        <f>+Schedule!C31</f>
        <v>&lt;ATL5 Name&gt;</v>
      </c>
    </row>
    <row r="6" spans="1:6" ht="16.8" x14ac:dyDescent="0.3">
      <c r="A6" s="182" t="s">
        <v>279</v>
      </c>
      <c r="B6" s="103" t="str">
        <f>CONCATENATE("     "&amp;+Schedule!E31&amp;",  "&amp;+Schedule!E32&amp;",  "&amp;+Schedule!E33,IF(ISBLANK(Schedule!E34),"",",  "&amp;Schedule!E34))</f>
        <v xml:space="preserve">     &lt;TL7 Name&gt;,  &lt;LD Name&gt;,  &lt;ATL4 Name&gt;,  &lt;TD Name&gt;</v>
      </c>
      <c r="C6" s="92"/>
      <c r="D6" s="92"/>
      <c r="E6" s="92"/>
      <c r="F6" s="95"/>
    </row>
    <row r="7" spans="1:6" ht="16.8" x14ac:dyDescent="0.3">
      <c r="A7" s="182" t="s">
        <v>31</v>
      </c>
      <c r="B7" s="92" t="str">
        <f>+TeamInfo!F21</f>
        <v>&lt;SD Name&gt;</v>
      </c>
      <c r="C7" s="94"/>
      <c r="D7" s="94" t="str">
        <f>IF(ISBLANK(TeamInfo!F22),"",TeamInfo!F22)</f>
        <v>&lt;SD2 Name&gt;</v>
      </c>
    </row>
    <row r="8" spans="1:6" ht="16.2" customHeight="1" x14ac:dyDescent="0.3">
      <c r="A8" s="182" t="s">
        <v>33</v>
      </c>
      <c r="B8" s="214"/>
      <c r="C8" s="214"/>
      <c r="D8" s="214"/>
      <c r="E8" s="214"/>
    </row>
    <row r="9" spans="1:6" s="73" customFormat="1" ht="18" customHeight="1" x14ac:dyDescent="0.3">
      <c r="A9" s="186" t="str">
        <f>+Schedule!D27</f>
        <v>Body of Christ</v>
      </c>
      <c r="B9" s="187" t="str">
        <f>+Schedule!D28</f>
        <v>&lt;TL7 Name&gt;</v>
      </c>
      <c r="C9" s="188" t="s">
        <v>20</v>
      </c>
      <c r="D9" s="186" t="str">
        <f>+Schedule!D29</f>
        <v>Perseverance</v>
      </c>
      <c r="E9" s="187" t="str">
        <f>+Schedule!D30</f>
        <v>&lt;LD Name&gt;</v>
      </c>
    </row>
    <row r="10" spans="1:6" s="73" customFormat="1" ht="18" customHeight="1" x14ac:dyDescent="0.3">
      <c r="A10" s="186"/>
      <c r="B10" s="187"/>
      <c r="C10" s="188"/>
      <c r="D10" s="186"/>
      <c r="E10" s="187"/>
    </row>
    <row r="11" spans="1:6" ht="16.8" x14ac:dyDescent="0.3">
      <c r="A11" s="182" t="s">
        <v>48</v>
      </c>
      <c r="B11" s="92" t="str">
        <f>+TeamInfo!F27</f>
        <v>&lt;LD Name&gt;</v>
      </c>
      <c r="C11" s="95"/>
      <c r="D11" s="95"/>
      <c r="E11" s="95"/>
    </row>
    <row r="12" spans="1:6" ht="16.8" x14ac:dyDescent="0.3">
      <c r="A12" s="214"/>
      <c r="B12" s="92"/>
      <c r="C12" s="216"/>
      <c r="D12" s="75"/>
      <c r="E12" s="73"/>
    </row>
    <row r="13" spans="1:6" ht="16.8" x14ac:dyDescent="0.3">
      <c r="A13" s="214" t="s">
        <v>365</v>
      </c>
      <c r="B13" s="283" t="s">
        <v>396</v>
      </c>
      <c r="C13" s="283"/>
      <c r="D13" s="283"/>
      <c r="E13" s="283"/>
      <c r="F13" s="214"/>
    </row>
    <row r="14" spans="1:6" ht="16.8" x14ac:dyDescent="0.3">
      <c r="A14" s="73"/>
      <c r="B14" s="283" t="s">
        <v>393</v>
      </c>
      <c r="C14" s="283"/>
      <c r="D14" s="283"/>
      <c r="E14" s="283"/>
    </row>
    <row r="15" spans="1:6" ht="16.8" x14ac:dyDescent="0.3">
      <c r="B15" s="214" t="s">
        <v>391</v>
      </c>
      <c r="C15" s="214"/>
      <c r="D15" s="214"/>
      <c r="E15" s="214"/>
    </row>
    <row r="16" spans="1:6" ht="16.8" x14ac:dyDescent="0.3">
      <c r="B16" s="283" t="s">
        <v>375</v>
      </c>
      <c r="C16" s="283"/>
      <c r="D16" s="283"/>
      <c r="E16" s="283"/>
    </row>
    <row r="17" spans="2:5" ht="16.8" x14ac:dyDescent="0.3">
      <c r="B17" s="283" t="s">
        <v>416</v>
      </c>
      <c r="C17" s="283"/>
      <c r="D17" s="283"/>
      <c r="E17" s="283"/>
    </row>
  </sheetData>
  <mergeCells count="7">
    <mergeCell ref="B17:E17"/>
    <mergeCell ref="A1:E1"/>
    <mergeCell ref="D2:E2"/>
    <mergeCell ref="B4:E4"/>
    <mergeCell ref="B13:E13"/>
    <mergeCell ref="B14:E14"/>
    <mergeCell ref="B16:E16"/>
  </mergeCell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L73"/>
  <sheetViews>
    <sheetView zoomScaleNormal="100" workbookViewId="0">
      <selection sqref="A1:E1"/>
    </sheetView>
  </sheetViews>
  <sheetFormatPr defaultRowHeight="13.2" x14ac:dyDescent="0.25"/>
  <cols>
    <col min="1" max="2" width="23.5546875" customWidth="1"/>
    <col min="3" max="3" width="2.33203125" customWidth="1"/>
    <col min="4" max="4" width="23.5546875" customWidth="1"/>
    <col min="5" max="5" width="24.44140625" customWidth="1"/>
  </cols>
  <sheetData>
    <row r="1" spans="1:10" ht="17.399999999999999" x14ac:dyDescent="0.3">
      <c r="A1" s="257" t="str">
        <f>+"New-Ark Area Emmaus "&amp;TeamInfo!D5&amp;" "&amp;TeamInfo!D6</f>
        <v xml:space="preserve">New-Ark Area Emmaus Wo/Men's Walk #NN </v>
      </c>
      <c r="B1" s="257"/>
      <c r="C1" s="257"/>
      <c r="D1" s="257"/>
      <c r="E1" s="257"/>
    </row>
    <row r="2" spans="1:10" ht="17.399999999999999" x14ac:dyDescent="0.3">
      <c r="A2" s="68" t="s">
        <v>295</v>
      </c>
      <c r="B2" s="21"/>
      <c r="C2" s="21"/>
      <c r="D2" s="282">
        <f>+Schedule!B31</f>
        <v>36600</v>
      </c>
      <c r="E2" s="282"/>
    </row>
    <row r="3" spans="1:10" ht="6" customHeight="1" x14ac:dyDescent="0.25">
      <c r="A3" s="14"/>
    </row>
    <row r="4" spans="1:10" ht="16.8" x14ac:dyDescent="0.3">
      <c r="A4" s="69" t="s">
        <v>27</v>
      </c>
      <c r="B4" s="74" t="s">
        <v>26</v>
      </c>
    </row>
    <row r="5" spans="1:10" ht="16.8" x14ac:dyDescent="0.3">
      <c r="A5" s="69" t="s">
        <v>3</v>
      </c>
      <c r="B5" s="92" t="str">
        <f>+Schedule!C31</f>
        <v>&lt;ATL5 Name&gt;</v>
      </c>
    </row>
    <row r="6" spans="1:10" ht="16.8" x14ac:dyDescent="0.3">
      <c r="A6" s="69" t="s">
        <v>388</v>
      </c>
      <c r="B6" s="17"/>
    </row>
    <row r="7" spans="1:10" ht="16.8" x14ac:dyDescent="0.3">
      <c r="A7" s="69" t="s">
        <v>279</v>
      </c>
      <c r="B7" s="103" t="str">
        <f>CONCATENATE("     "&amp;+Schedule!E31&amp;",  "&amp;+Schedule!E32&amp;",  "&amp;+Schedule!E33,IF(ISBLANK(Schedule!E34),"",",  "&amp;Schedule!E34))</f>
        <v xml:space="preserve">     &lt;TL7 Name&gt;,  &lt;LD Name&gt;,  &lt;ATL4 Name&gt;,  &lt;TD Name&gt;</v>
      </c>
      <c r="C7" s="92"/>
      <c r="D7" s="92"/>
      <c r="E7" s="17"/>
    </row>
    <row r="8" spans="1:10" ht="16.8" x14ac:dyDescent="0.3">
      <c r="A8" s="69" t="s">
        <v>25</v>
      </c>
    </row>
    <row r="9" spans="1:10" ht="16.8" x14ac:dyDescent="0.3">
      <c r="A9" s="69" t="s">
        <v>28</v>
      </c>
      <c r="B9" s="1"/>
    </row>
    <row r="10" spans="1:10" ht="16.8" x14ac:dyDescent="0.3">
      <c r="A10" s="69" t="s">
        <v>29</v>
      </c>
      <c r="B10" s="92" t="str">
        <f>+TeamInfo!F27</f>
        <v>&lt;LD Name&gt;</v>
      </c>
      <c r="C10" s="69" t="s">
        <v>297</v>
      </c>
      <c r="D10" s="69"/>
      <c r="I10" s="69"/>
      <c r="J10" s="69"/>
    </row>
    <row r="11" spans="1:10" ht="16.8" x14ac:dyDescent="0.3">
      <c r="A11" s="69"/>
      <c r="B11" s="17"/>
      <c r="C11" s="69"/>
      <c r="D11" s="69" t="s">
        <v>382</v>
      </c>
      <c r="I11" s="69"/>
      <c r="J11" s="69"/>
    </row>
    <row r="12" spans="1:10" ht="9" customHeight="1" x14ac:dyDescent="0.3">
      <c r="A12" s="69"/>
      <c r="B12" s="17"/>
      <c r="C12" s="69"/>
      <c r="D12" s="69"/>
      <c r="I12" s="69"/>
      <c r="J12" s="69"/>
    </row>
    <row r="13" spans="1:10" ht="16.8" x14ac:dyDescent="0.3">
      <c r="A13" s="69" t="s">
        <v>38</v>
      </c>
      <c r="B13" s="92" t="str">
        <f>+TeamInfo!F27</f>
        <v>&lt;LD Name&gt;</v>
      </c>
      <c r="C13" s="69"/>
      <c r="D13" s="69"/>
      <c r="E13" s="69"/>
    </row>
    <row r="14" spans="1:10" ht="16.8" x14ac:dyDescent="0.3">
      <c r="A14" s="69" t="s">
        <v>384</v>
      </c>
      <c r="B14" s="69"/>
      <c r="C14" s="69"/>
      <c r="D14" s="69"/>
      <c r="E14" s="69"/>
    </row>
    <row r="15" spans="1:10" ht="16.8" x14ac:dyDescent="0.3">
      <c r="A15" s="69" t="s">
        <v>385</v>
      </c>
      <c r="B15" s="69"/>
      <c r="C15" s="69"/>
      <c r="D15" s="69"/>
      <c r="E15" s="69"/>
    </row>
    <row r="16" spans="1:10" ht="9" customHeight="1" x14ac:dyDescent="0.3">
      <c r="A16" s="90"/>
      <c r="D16" s="19"/>
    </row>
    <row r="17" spans="1:5" s="168" customFormat="1" ht="16.8" x14ac:dyDescent="0.3">
      <c r="A17" s="172" t="s">
        <v>383</v>
      </c>
      <c r="B17" s="94" t="str">
        <f>+TeamInfo!F27</f>
        <v>&lt;LD Name&gt;</v>
      </c>
      <c r="C17" s="183" t="s">
        <v>441</v>
      </c>
    </row>
    <row r="18" spans="1:5" ht="9" customHeight="1" x14ac:dyDescent="0.3">
      <c r="A18" s="72"/>
    </row>
    <row r="19" spans="1:5" ht="16.8" x14ac:dyDescent="0.3">
      <c r="A19" s="69" t="s">
        <v>31</v>
      </c>
      <c r="B19" s="92" t="str">
        <f>+TeamInfo!F21</f>
        <v>&lt;SD Name&gt;</v>
      </c>
      <c r="C19" s="17"/>
      <c r="D19" s="92" t="str">
        <f>IF(ISBLANK(TeamInfo!F22),"",TeamInfo!F22)</f>
        <v>&lt;SD2 Name&gt;</v>
      </c>
    </row>
    <row r="20" spans="1:5" ht="9" customHeight="1" x14ac:dyDescent="0.3">
      <c r="A20" s="69"/>
      <c r="B20" s="17"/>
      <c r="C20" s="17"/>
      <c r="D20" s="17"/>
    </row>
    <row r="21" spans="1:5" ht="16.8" x14ac:dyDescent="0.3">
      <c r="A21" s="69" t="s">
        <v>32</v>
      </c>
      <c r="B21" s="92" t="str">
        <f>+TeamInfo!F34</f>
        <v>&lt;MD Name&gt;</v>
      </c>
      <c r="C21" s="17"/>
      <c r="D21" s="92" t="str">
        <f>IF(ISBLANK(TeamInfo!F35),"",TeamInfo!F35)</f>
        <v>&lt;MD2 Name&gt;</v>
      </c>
    </row>
    <row r="22" spans="1:5" ht="9" customHeight="1" x14ac:dyDescent="0.25"/>
    <row r="23" spans="1:5" s="73" customFormat="1" ht="16.8" x14ac:dyDescent="0.3">
      <c r="A23" s="110" t="s">
        <v>33</v>
      </c>
      <c r="B23" s="111" t="s">
        <v>107</v>
      </c>
      <c r="C23" s="111"/>
      <c r="D23" s="111"/>
      <c r="E23" s="111"/>
    </row>
    <row r="24" spans="1:5" s="73" customFormat="1" ht="16.8" x14ac:dyDescent="0.3">
      <c r="A24" s="287" t="s">
        <v>108</v>
      </c>
      <c r="B24" s="287"/>
      <c r="C24" s="287"/>
      <c r="D24" s="287"/>
      <c r="E24" s="287"/>
    </row>
    <row r="25" spans="1:5" s="73" customFormat="1" ht="16.8" x14ac:dyDescent="0.3">
      <c r="A25" s="287" t="s">
        <v>274</v>
      </c>
      <c r="B25" s="287"/>
      <c r="C25" s="287"/>
      <c r="D25" s="287"/>
      <c r="E25" s="287"/>
    </row>
    <row r="26" spans="1:5" s="73" customFormat="1" ht="16.8" x14ac:dyDescent="0.3">
      <c r="A26" s="287" t="s">
        <v>109</v>
      </c>
      <c r="B26" s="287"/>
      <c r="C26" s="287"/>
      <c r="D26" s="287"/>
      <c r="E26" s="287"/>
    </row>
    <row r="27" spans="1:5" s="73" customFormat="1" ht="16.8" x14ac:dyDescent="0.3">
      <c r="A27" s="287" t="s">
        <v>110</v>
      </c>
      <c r="B27" s="287"/>
      <c r="C27" s="287"/>
      <c r="D27" s="287"/>
      <c r="E27" s="287"/>
    </row>
    <row r="28" spans="1:5" ht="16.8" x14ac:dyDescent="0.25">
      <c r="A28" s="287" t="s">
        <v>347</v>
      </c>
      <c r="B28" s="287"/>
      <c r="C28" s="287"/>
      <c r="D28" s="287"/>
      <c r="E28" s="287"/>
    </row>
    <row r="29" spans="1:5" s="73" customFormat="1" ht="16.8" x14ac:dyDescent="0.3">
      <c r="A29" s="288" t="s">
        <v>275</v>
      </c>
      <c r="B29" s="288"/>
      <c r="C29" s="288"/>
      <c r="D29" s="288"/>
      <c r="E29" s="288"/>
    </row>
    <row r="30" spans="1:5" ht="21.75" customHeight="1" thickBot="1" x14ac:dyDescent="0.3">
      <c r="A30" s="24" t="s">
        <v>81</v>
      </c>
      <c r="B30" s="25"/>
      <c r="C30" s="25"/>
      <c r="D30" s="25"/>
      <c r="E30" s="25"/>
    </row>
    <row r="31" spans="1:5" ht="36" customHeight="1" thickBot="1" x14ac:dyDescent="0.3">
      <c r="A31" s="116" t="str">
        <f>+Schedule!D33</f>
        <v>Talk preview if needed</v>
      </c>
      <c r="B31" s="112" t="str">
        <f>+Schedule!D34</f>
        <v/>
      </c>
      <c r="C31" s="40" t="s">
        <v>20</v>
      </c>
      <c r="D31" s="117" t="e">
        <f>+Schedule!#REF!</f>
        <v>#REF!</v>
      </c>
      <c r="E31" s="113" t="e">
        <f>+Schedule!#REF!</f>
        <v>#REF!</v>
      </c>
    </row>
    <row r="32" spans="1:5" ht="16.8" x14ac:dyDescent="0.25">
      <c r="A32" s="118" t="s">
        <v>21</v>
      </c>
      <c r="B32" s="122" t="str">
        <f>IF(ISBLANK(VLOOKUP("Thurs.#6-1",Previews!A9:E31,5,FALSE)),"",VLOOKUP("Thurs.#6-1",Previews!A9:E31,5,FALSE))</f>
        <v>&lt;ALD2 Name&gt;</v>
      </c>
      <c r="C32" s="41"/>
      <c r="D32" s="119" t="s">
        <v>21</v>
      </c>
      <c r="E32" s="123" t="str">
        <f>IF(ISBLANK(VLOOKUP("Thurs.#6-2",Previews!A9:E31,5,FALSE)),"",VLOOKUP("Thurs.#6-2",Previews!A9:E31,5,FALSE))</f>
        <v>&lt;ALD3 Name&gt;</v>
      </c>
    </row>
    <row r="33" spans="1:12" ht="16.8" x14ac:dyDescent="0.25">
      <c r="A33" s="119" t="s">
        <v>162</v>
      </c>
      <c r="B33" s="120" t="str">
        <f>IF(ISBLANK(VLOOKUP("Thurs.#6-1",Previews!A9:C31,3,FALSE)),"",VLOOKUP("Thurs.#6-1",Previews!A9:C31,3,FALSE))</f>
        <v>TBD</v>
      </c>
      <c r="C33" s="41"/>
      <c r="D33" s="119" t="s">
        <v>162</v>
      </c>
      <c r="E33" s="120" t="str">
        <f>IF(ISBLANK(VLOOKUP("Thurs.#6-2",Previews!A9:C31,3,FALSE)),"",VLOOKUP("Thurs.#6-2",Previews!A9:C31,3,FALSE))</f>
        <v>TBD</v>
      </c>
    </row>
    <row r="34" spans="1:12" ht="16.8" x14ac:dyDescent="0.25">
      <c r="A34" s="119" t="s">
        <v>200</v>
      </c>
      <c r="B34" s="121" t="s">
        <v>22</v>
      </c>
      <c r="C34" s="43"/>
      <c r="D34" s="119" t="s">
        <v>200</v>
      </c>
      <c r="E34" s="42" t="s">
        <v>23</v>
      </c>
    </row>
    <row r="35" spans="1:12" ht="15.6" x14ac:dyDescent="0.25">
      <c r="A35" s="124" t="str">
        <f>IF(ISBLANK(VLOOKUP("Thurs.#6-1",Previews!$A$9:$G$31,7,FALSE)),"",VLOOKUP("Thurs.#6-1",Previews!$A$9:$G$31,7,FALSE))</f>
        <v>&lt;ALD2 Name&gt;</v>
      </c>
      <c r="B35" s="123" t="str">
        <f>IF(ISBLANK(VLOOKUP("Thurs.#6-1",Previews!$A$9:$H$31,8,FALSE)),"",VLOOKUP("Thurs.#6-1",Previews!$A$9:$H$31,8,FALSE))</f>
        <v>&lt;ALD1 Name&gt;</v>
      </c>
      <c r="C35" s="43"/>
      <c r="D35" s="124" t="str">
        <f>IF(ISBLANK(VLOOKUP("Thurs.#6-2",Previews!$A$9:$G$31,7,FALSE)),"",VLOOKUP("Thurs.#6-2",Previews!$A$9:$G$31,7,FALSE))</f>
        <v>&lt;ALD3 Name&gt;</v>
      </c>
      <c r="E35" s="123" t="str">
        <f>IF(ISBLANK(VLOOKUP("Thurs.#6-2",Previews!$A$9:$H$31,8,FALSE)),"",VLOOKUP("Thurs.#6-2",Previews!$A$9:$H$31,8,FALSE))</f>
        <v>&lt;LD Name&gt;</v>
      </c>
    </row>
    <row r="36" spans="1:12" ht="15.6" x14ac:dyDescent="0.25">
      <c r="A36" s="124" t="str">
        <f>IF(ISBLANK(VLOOKUP("Thurs.#6-1",Previews!$A$9:$I$31,9,FALSE)),"",VLOOKUP("Thurs.#6-1",Previews!$A$9:$I$31,9,FALSE))</f>
        <v>&lt;TL1 Name&gt;</v>
      </c>
      <c r="B36" s="123" t="str">
        <f>IF(ISBLANK(VLOOKUP("Thurs.#6-1",Previews!$A$9:$J$31,10,FALSE)),"",VLOOKUP("Thurs.#6-1",Previews!$A$9:$J$31,10,FALSE))</f>
        <v>&lt;TL2 Name&gt;</v>
      </c>
      <c r="C36" s="43"/>
      <c r="D36" s="124" t="str">
        <f>IF(ISBLANK(VLOOKUP("Thurs.#6-2",Previews!$A$9:$I$31,9,FALSE)),"",VLOOKUP("Thurs.#6-2",Previews!$A$9:$I$31,9,FALSE))</f>
        <v>&lt;ATL1 Name&gt;</v>
      </c>
      <c r="E36" s="123" t="str">
        <f>IF(ISBLANK(VLOOKUP("Thurs.#6-2",Previews!$A$9:$J$31,10,FALSE)),"",VLOOKUP("Thurs.#6-2",Previews!$A$9:$J$31,10,FALSE))</f>
        <v>&lt;ATL2 Name&gt;</v>
      </c>
    </row>
    <row r="37" spans="1:12" ht="15.6" x14ac:dyDescent="0.25">
      <c r="A37" s="124" t="str">
        <f>IF(ISBLANK(VLOOKUP("Thurs.#6-1",Previews!$A$9:$K$31,11,FALSE)),"",VLOOKUP("Thurs.#6-1",Previews!$A$9:$K$31,11,FALSE))</f>
        <v>&lt;ATL3 Name&gt;</v>
      </c>
      <c r="B37" s="123" t="str">
        <f>IF(ISBLANK(VLOOKUP("Thurs.#6-1",Previews!$A$9:$L$31,12,FALSE)),"",VLOOKUP("Thurs.#6-1",Previews!$A$9:$L$31,12,FALSE))</f>
        <v>&lt;ATL4 Name&gt;</v>
      </c>
      <c r="C37" s="43"/>
      <c r="D37" s="124" t="str">
        <f>IF(ISBLANK(VLOOKUP("Thurs.#6-2",Previews!$A$9:$K$31,11,FALSE)),"",VLOOKUP("Thurs.#6-2",Previews!$A$9:$K$31,11,FALSE))</f>
        <v>&lt;TL3 Name&gt;</v>
      </c>
      <c r="E37" s="123" t="str">
        <f>IF(ISBLANK(VLOOKUP("Thurs.#6-2",Previews!$A$9:$L$31,12,FALSE)),"",VLOOKUP("Thurs.#6-2",Previews!$A$9:$L$31,12,FALSE))</f>
        <v>&lt;TL4 Name&gt;</v>
      </c>
    </row>
    <row r="38" spans="1:12" ht="15.6" x14ac:dyDescent="0.25">
      <c r="A38" s="124" t="str">
        <f>IF(ISBLANK(VLOOKUP("Thurs.#6-1",Previews!$A$9:$M$31,13,FALSE)),"",VLOOKUP("Thurs.#6-1",Previews!$A$9:$M$31,13,FALSE))</f>
        <v>&lt;ATL5 Name&gt;</v>
      </c>
      <c r="B38" s="123" t="str">
        <f>IF(ISBLANK(VLOOKUP("Thurs.#6-1",Previews!$A$9:$N$31,14,FALSE)),"",VLOOKUP("Thurs.#6-1",Previews!$A$9:$N$31,14,FALSE))</f>
        <v>&lt;TL6 Name&gt;</v>
      </c>
      <c r="C38" s="286"/>
      <c r="D38" s="124" t="str">
        <f>IF(ISBLANK(VLOOKUP("Thurs.#6-2",Previews!$A$9:$M$31,13,FALSE)),"",VLOOKUP("Thurs.#6-2",Previews!$A$9:$M$31,13,FALSE))</f>
        <v>&lt;TL5 Name&gt;</v>
      </c>
      <c r="E38" s="123" t="str">
        <f>IF(ISBLANK(VLOOKUP("Thurs.#6-2",Previews!$A$9:$N$31,14,FALSE)),"",VLOOKUP("Thurs.#6-2",Previews!$A$9:$N$31,14,FALSE))</f>
        <v>&lt;TL7 Name&gt;</v>
      </c>
    </row>
    <row r="39" spans="1:12" ht="14.25" customHeight="1" x14ac:dyDescent="0.3">
      <c r="A39" s="124" t="str">
        <f>IF(ISBLANK(VLOOKUP("Thurs.#6-1",Previews!$A$9:$O$31,15,FALSE)),"",VLOOKUP("Thurs.#6-1",Previews!$A$9:$O$31,15,FALSE))</f>
        <v>&lt;BR Name&gt;</v>
      </c>
      <c r="B39" s="123" t="str">
        <f>IF(ISBLANK(VLOOKUP("Thurs.#6-1",Previews!$A$9:$P$31,16,FALSE)),"",VLOOKUP("Thurs.#6-1",Previews!$A$9:$P$31,16,FALSE))</f>
        <v>&lt;MD Name&gt;</v>
      </c>
      <c r="C39" s="286"/>
      <c r="D39" s="124" t="str">
        <f>IF(ISBLANK(VLOOKUP("Thurs.#6-2",Previews!$A$9:$O$31,15,FALSE)),"",VLOOKUP("Thurs.#6-2",Previews!$A$9:$O$31,15,FALSE))</f>
        <v>&lt;TD Name&gt;</v>
      </c>
      <c r="E39" s="123" t="str">
        <f>IF(ISBLANK(VLOOKUP("Thurs.#6-2",Previews!$A$9:$P$31,16,FALSE)),"",VLOOKUP("Thurs.#6-2",Previews!$A$9:$P$31,16,FALSE))</f>
        <v>&lt;SD Name&gt;</v>
      </c>
      <c r="L39" s="69"/>
    </row>
    <row r="40" spans="1:12" ht="14.25" customHeight="1" thickBot="1" x14ac:dyDescent="0.35">
      <c r="A40" s="125" t="str">
        <f>IF(ISBLANK(VLOOKUP("Thurs.#6-1",Previews!$A$9:$Q$31,17,FALSE)),"",VLOOKUP("Thurs.#6-1",Previews!$A$9:$Q$31,17,FALSE))</f>
        <v>&lt;SD2 Name&gt;</v>
      </c>
      <c r="B40" s="126" t="str">
        <f>IF(ISBLANK(VLOOKUP("Thurs.#6-1",Previews!$A$9:$R$31,18,FALSE)),"",VLOOKUP("Thurs.#6-1",Previews!$A$9:$R$31,18,FALSE))</f>
        <v>&lt;TD2 Name&gt;</v>
      </c>
      <c r="C40" s="43"/>
      <c r="D40" s="125" t="str">
        <f>IF(ISBLANK(VLOOKUP("Thurs.#6-2",Previews!$A$9:$Q$31,17,FALSE)),"",VLOOKUP("Thurs.#6-2",Previews!$A$9:$Q$31,17,FALSE))</f>
        <v>&lt;MD2 Name&gt;</v>
      </c>
      <c r="E40" s="126" t="str">
        <f>IF(ISBLANK(VLOOKUP("Thurs.#6-2",Previews!$A$9:$R$31,18,FALSE)),"",VLOOKUP("Thurs.#6-2",Previews!$A$9:$R$31,18,FALSE))</f>
        <v/>
      </c>
      <c r="L40" s="69"/>
    </row>
    <row r="41" spans="1:12" ht="9" customHeight="1" x14ac:dyDescent="0.25">
      <c r="A41" s="44"/>
      <c r="B41" s="44"/>
      <c r="C41" s="43"/>
      <c r="D41" s="44"/>
      <c r="E41" s="44"/>
    </row>
    <row r="42" spans="1:12" ht="16.8" x14ac:dyDescent="0.3">
      <c r="A42" s="127" t="s">
        <v>34</v>
      </c>
      <c r="B42" s="114" t="str">
        <f>IF(ISBLANK(VLOOKUP("Thurs.#6-1",Previews!A9:F31,6,FALSE)),"",VLOOKUP("Thurs.#6-1",Previews!A9:F31,6,FALSE))</f>
        <v>&lt;LD Name&gt;</v>
      </c>
      <c r="C42" s="114"/>
      <c r="D42" s="115"/>
      <c r="E42" s="115"/>
    </row>
    <row r="43" spans="1:12" ht="16.8" x14ac:dyDescent="0.3">
      <c r="A43" s="110" t="s">
        <v>35</v>
      </c>
      <c r="B43" s="114" t="str">
        <f>IF(ISBLANK(VLOOKUP("Thurs.#6-1",Previews!A9:G31,7,FALSE)),"",VLOOKUP("Thurs.#6-1",Previews!A9:G31,7,FALSE))</f>
        <v>&lt;ALD2 Name&gt;</v>
      </c>
      <c r="C43" s="114"/>
      <c r="D43" s="114" t="str">
        <f>IF(ISBLANK(VLOOKUP("Thurs.#6-2",Previews!A9:G31,7,FALSE)),"",VLOOKUP("Thurs.#6-2",Previews!A9:G31,7,FALSE))</f>
        <v>&lt;ALD3 Name&gt;</v>
      </c>
      <c r="E43" s="115"/>
    </row>
    <row r="44" spans="1:12" ht="9" customHeight="1" x14ac:dyDescent="0.3">
      <c r="A44" s="69"/>
      <c r="B44" s="17"/>
      <c r="C44" s="17"/>
    </row>
    <row r="45" spans="1:12" s="168" customFormat="1" ht="16.8" x14ac:dyDescent="0.3">
      <c r="A45" s="172" t="s">
        <v>381</v>
      </c>
      <c r="B45" s="95"/>
      <c r="C45" s="95"/>
      <c r="D45" s="95"/>
      <c r="E45" s="95"/>
    </row>
    <row r="46" spans="1:12" s="176" customFormat="1" ht="9" customHeight="1" x14ac:dyDescent="0.3">
      <c r="A46" s="181"/>
      <c r="B46" s="177"/>
      <c r="C46" s="177"/>
    </row>
    <row r="47" spans="1:12" ht="16.8" x14ac:dyDescent="0.3">
      <c r="A47" s="69" t="s">
        <v>49</v>
      </c>
    </row>
    <row r="48" spans="1:12" ht="16.8" x14ac:dyDescent="0.3">
      <c r="A48" s="69" t="s">
        <v>36</v>
      </c>
      <c r="B48" s="92" t="str">
        <f>+TeamInfo!F28</f>
        <v>&lt;ALD1 Name&gt;</v>
      </c>
      <c r="C48" s="69" t="s">
        <v>299</v>
      </c>
      <c r="D48" s="69"/>
    </row>
    <row r="49" spans="1:6" ht="16.8" x14ac:dyDescent="0.3">
      <c r="A49" s="69"/>
      <c r="B49" s="92"/>
      <c r="C49" s="69" t="s">
        <v>440</v>
      </c>
      <c r="D49" s="69"/>
    </row>
    <row r="50" spans="1:6" ht="16.5" customHeight="1" x14ac:dyDescent="0.3">
      <c r="A50" s="69"/>
      <c r="B50" s="92"/>
      <c r="C50" s="69"/>
      <c r="D50" s="69" t="s">
        <v>298</v>
      </c>
    </row>
    <row r="51" spans="1:6" ht="16.8" x14ac:dyDescent="0.3">
      <c r="A51" s="69" t="s">
        <v>281</v>
      </c>
      <c r="B51" s="92" t="str">
        <f>+TeamInfo!F28</f>
        <v>&lt;ALD1 Name&gt;</v>
      </c>
      <c r="C51" s="69" t="s">
        <v>436</v>
      </c>
      <c r="D51" s="69"/>
      <c r="E51" s="69"/>
    </row>
    <row r="52" spans="1:6" ht="16.8" x14ac:dyDescent="0.3">
      <c r="A52" s="69" t="s">
        <v>37</v>
      </c>
      <c r="B52" s="92" t="str">
        <f>+TeamInfo!F29</f>
        <v>&lt;ALD2 Name&gt;</v>
      </c>
      <c r="C52" s="69"/>
      <c r="D52" s="69"/>
    </row>
    <row r="53" spans="1:6" ht="6" customHeight="1" x14ac:dyDescent="0.3">
      <c r="A53" s="69"/>
      <c r="B53" s="92"/>
      <c r="C53" s="69"/>
      <c r="D53" s="69"/>
    </row>
    <row r="54" spans="1:6" ht="16.8" x14ac:dyDescent="0.3">
      <c r="A54" s="69" t="s">
        <v>331</v>
      </c>
      <c r="B54" s="92" t="str">
        <f>+TeamInfo!$F$30</f>
        <v>&lt;ALD3 Name&gt;</v>
      </c>
      <c r="C54" s="135" t="s">
        <v>439</v>
      </c>
      <c r="D54" s="135"/>
      <c r="E54" s="135"/>
      <c r="F54" s="69"/>
    </row>
    <row r="55" spans="1:6" ht="16.8" x14ac:dyDescent="0.3">
      <c r="A55" s="69" t="s">
        <v>329</v>
      </c>
      <c r="B55" s="92"/>
      <c r="C55" s="109" t="s">
        <v>367</v>
      </c>
      <c r="D55" s="69"/>
      <c r="E55" s="69"/>
      <c r="F55" s="69"/>
    </row>
    <row r="56" spans="1:6" ht="16.8" x14ac:dyDescent="0.3">
      <c r="A56" s="69"/>
      <c r="B56" s="92"/>
      <c r="C56" s="69" t="s">
        <v>330</v>
      </c>
      <c r="D56" s="69"/>
      <c r="E56" s="69"/>
      <c r="F56" s="69"/>
    </row>
    <row r="57" spans="1:6" ht="6" customHeight="1" x14ac:dyDescent="0.3">
      <c r="A57" s="73"/>
      <c r="B57" s="95"/>
      <c r="C57" s="69"/>
      <c r="D57" s="69"/>
      <c r="E57" s="69"/>
      <c r="F57" s="69"/>
    </row>
    <row r="58" spans="1:6" ht="16.8" x14ac:dyDescent="0.3">
      <c r="A58" s="69" t="s">
        <v>126</v>
      </c>
      <c r="B58" s="92" t="str">
        <f>+TeamInfo!$F$32</f>
        <v>&lt;TD Name&gt;</v>
      </c>
      <c r="C58" s="69"/>
      <c r="D58" s="92" t="str">
        <f>IF(ISBLANK(TeamInfo!$F$33),"",TeamInfo!$F$33)</f>
        <v>&lt;TD2 Name&gt;</v>
      </c>
      <c r="E58" s="69"/>
      <c r="F58" s="69"/>
    </row>
    <row r="59" spans="1:6" s="95" customFormat="1" ht="16.8" x14ac:dyDescent="0.3">
      <c r="A59" s="69" t="str">
        <f>"     Email talk to "&amp;TeamInfo!$D$9&amp;"td@new-arkemmaus.org with copy to "&amp;TeamInfo!$D$9&amp;"ld@new-arkemmaus.org"</f>
        <v xml:space="preserve">     Email talk to mwtd@new-arkemmaus.org with copy to mwld@new-arkemmaus.org</v>
      </c>
      <c r="B59" s="69"/>
      <c r="C59" s="69"/>
      <c r="D59" s="69"/>
      <c r="E59" s="69"/>
    </row>
    <row r="60" spans="1:6" ht="9" customHeight="1" x14ac:dyDescent="0.3">
      <c r="A60" s="69"/>
      <c r="B60" s="17"/>
      <c r="C60" s="17"/>
    </row>
    <row r="61" spans="1:6" ht="16.8" x14ac:dyDescent="0.3">
      <c r="A61" s="69" t="s">
        <v>50</v>
      </c>
      <c r="B61" s="92" t="str">
        <f>+TeamInfo!F27</f>
        <v>&lt;LD Name&gt;</v>
      </c>
    </row>
    <row r="62" spans="1:6" ht="16.8" x14ac:dyDescent="0.3">
      <c r="A62" s="72" t="s">
        <v>266</v>
      </c>
      <c r="B62" s="15"/>
    </row>
    <row r="63" spans="1:6" ht="16.8" x14ac:dyDescent="0.3">
      <c r="A63" s="72" t="s">
        <v>51</v>
      </c>
      <c r="B63" s="15"/>
    </row>
    <row r="64" spans="1:6" ht="16.8" x14ac:dyDescent="0.3">
      <c r="A64" s="72" t="s">
        <v>54</v>
      </c>
      <c r="B64" s="15"/>
    </row>
    <row r="65" spans="1:5" ht="16.8" x14ac:dyDescent="0.3">
      <c r="A65" s="72" t="s">
        <v>267</v>
      </c>
      <c r="B65" s="15"/>
    </row>
    <row r="66" spans="1:5" ht="16.8" x14ac:dyDescent="0.3">
      <c r="A66" s="72" t="s">
        <v>52</v>
      </c>
      <c r="B66" s="15"/>
    </row>
    <row r="67" spans="1:5" ht="16.8" x14ac:dyDescent="0.3">
      <c r="A67" s="72" t="s">
        <v>53</v>
      </c>
      <c r="B67" s="15"/>
    </row>
    <row r="68" spans="1:5" ht="9" customHeight="1" x14ac:dyDescent="0.3">
      <c r="A68" s="73"/>
      <c r="B68" s="15"/>
    </row>
    <row r="69" spans="1:5" ht="16.8" x14ac:dyDescent="0.3">
      <c r="A69" s="69" t="s">
        <v>47</v>
      </c>
      <c r="B69" s="92" t="str">
        <f>+TeamInfo!F31</f>
        <v>&lt;BR Name&gt;</v>
      </c>
    </row>
    <row r="70" spans="1:5" ht="16.8" x14ac:dyDescent="0.3">
      <c r="A70" s="69" t="s">
        <v>55</v>
      </c>
      <c r="B70" s="17"/>
    </row>
    <row r="71" spans="1:5" ht="16.8" x14ac:dyDescent="0.3">
      <c r="A71" s="69" t="s">
        <v>48</v>
      </c>
      <c r="B71" s="92" t="str">
        <f>+TeamInfo!F21</f>
        <v>&lt;SD Name&gt;</v>
      </c>
      <c r="C71" s="17" t="str">
        <f>IF(ISBLANK(TeamInfo!D22),"",TeamInfo!D22)</f>
        <v/>
      </c>
    </row>
    <row r="73" spans="1:5" s="211" customFormat="1" ht="16.8" x14ac:dyDescent="0.3">
      <c r="A73" s="105" t="s">
        <v>444</v>
      </c>
      <c r="B73" s="222"/>
      <c r="C73" s="95"/>
      <c r="D73" s="95"/>
      <c r="E73" s="95"/>
    </row>
  </sheetData>
  <mergeCells count="9">
    <mergeCell ref="A1:E1"/>
    <mergeCell ref="C38:C39"/>
    <mergeCell ref="D2:E2"/>
    <mergeCell ref="A24:E24"/>
    <mergeCell ref="A25:E25"/>
    <mergeCell ref="A26:E26"/>
    <mergeCell ref="A27:E27"/>
    <mergeCell ref="A28:E28"/>
    <mergeCell ref="A29:E29"/>
  </mergeCells>
  <phoneticPr fontId="6" type="noConversion"/>
  <pageMargins left="0.5" right="0.35" top="0.35" bottom="0.35" header="0.25" footer="0.25"/>
  <pageSetup orientation="portrait" r:id="rId1"/>
  <headerFooter alignWithMargins="0"/>
  <rowBreaks count="1" manualBreakCount="1">
    <brk id="43"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E1AEBC-21C3-41AA-80AC-9ED26F6603D8}">
  <dimension ref="A1:F15"/>
  <sheetViews>
    <sheetView workbookViewId="0">
      <selection sqref="A1:E1"/>
    </sheetView>
  </sheetViews>
  <sheetFormatPr defaultRowHeight="13.2" x14ac:dyDescent="0.25"/>
  <cols>
    <col min="1" max="2" width="23.5546875" style="217" customWidth="1"/>
    <col min="3" max="3" width="2.33203125" style="217" customWidth="1"/>
    <col min="4" max="5" width="23.5546875" style="217" customWidth="1"/>
    <col min="6" max="16384" width="8.88671875" style="217"/>
  </cols>
  <sheetData>
    <row r="1" spans="1:6" s="104" customFormat="1" ht="18" x14ac:dyDescent="0.35">
      <c r="A1" s="257" t="str">
        <f>+"New-Ark Area Emmaus "&amp;TeamInfo!D5&amp;" "&amp;TeamInfo!D6</f>
        <v xml:space="preserve">New-Ark Area Emmaus Wo/Men's Walk #NN </v>
      </c>
      <c r="B1" s="257"/>
      <c r="C1" s="257"/>
      <c r="D1" s="257"/>
      <c r="E1" s="257"/>
    </row>
    <row r="2" spans="1:6" ht="17.399999999999999" x14ac:dyDescent="0.3">
      <c r="A2" s="218" t="s">
        <v>296</v>
      </c>
      <c r="B2" s="219"/>
      <c r="C2" s="219"/>
      <c r="D2" s="282">
        <f>+Schedule!B35</f>
        <v>36588</v>
      </c>
      <c r="E2" s="282"/>
    </row>
    <row r="3" spans="1:6" ht="6" customHeight="1" x14ac:dyDescent="0.25">
      <c r="A3" s="14"/>
    </row>
    <row r="4" spans="1:6" ht="16.8" x14ac:dyDescent="0.3">
      <c r="A4" s="220" t="s">
        <v>364</v>
      </c>
      <c r="B4" s="284" t="s">
        <v>394</v>
      </c>
      <c r="C4" s="284"/>
      <c r="D4" s="284"/>
      <c r="E4" s="284"/>
    </row>
    <row r="5" spans="1:6" ht="16.8" x14ac:dyDescent="0.3">
      <c r="A5" s="182" t="s">
        <v>3</v>
      </c>
      <c r="B5" s="92" t="str">
        <f>+Schedule!C35</f>
        <v>&lt;LD Name&gt;</v>
      </c>
    </row>
    <row r="6" spans="1:6" ht="16.8" x14ac:dyDescent="0.3">
      <c r="A6" s="182" t="s">
        <v>279</v>
      </c>
      <c r="B6" s="92" t="str">
        <f>+Schedule!E35</f>
        <v>TBA</v>
      </c>
      <c r="C6" s="92"/>
      <c r="D6" s="92"/>
      <c r="E6" s="92"/>
      <c r="F6" s="95"/>
    </row>
    <row r="7" spans="1:6" ht="16.8" x14ac:dyDescent="0.3">
      <c r="A7" s="182" t="s">
        <v>31</v>
      </c>
      <c r="B7" s="92" t="str">
        <f>+TeamInfo!F21</f>
        <v>&lt;SD Name&gt;</v>
      </c>
      <c r="C7" s="94"/>
      <c r="D7" s="94" t="str">
        <f>IF(ISBLANK(TeamInfo!F22),"",TeamInfo!F22)</f>
        <v>&lt;SD2 Name&gt;</v>
      </c>
    </row>
    <row r="8" spans="1:6" ht="16.2" customHeight="1" x14ac:dyDescent="0.3">
      <c r="A8" s="182" t="s">
        <v>33</v>
      </c>
      <c r="B8" s="220"/>
      <c r="C8" s="220"/>
      <c r="D8" s="220"/>
      <c r="E8" s="220"/>
    </row>
    <row r="9" spans="1:6" s="73" customFormat="1" ht="18" customHeight="1" x14ac:dyDescent="0.3">
      <c r="A9" s="186" t="str">
        <f>+Schedule!D35</f>
        <v>Prevenient Grace</v>
      </c>
      <c r="B9" s="187" t="str">
        <f>+Schedule!D36</f>
        <v>TBD -  Prevenient</v>
      </c>
      <c r="C9" s="188" t="s">
        <v>20</v>
      </c>
      <c r="D9" s="186" t="str">
        <f>+Schedule!D37</f>
        <v>Justifying Grace</v>
      </c>
      <c r="E9" s="187" t="str">
        <f>+Schedule!D38</f>
        <v>TBD -  Justifying</v>
      </c>
    </row>
    <row r="10" spans="1:6" s="73" customFormat="1" ht="18" customHeight="1" x14ac:dyDescent="0.3">
      <c r="A10" s="186" t="str">
        <f>+Schedule!D39</f>
        <v>Obstacles to Grace</v>
      </c>
      <c r="B10" s="187" t="str">
        <f>+Schedule!D40</f>
        <v>TBD -  Obstacles</v>
      </c>
      <c r="C10" s="188" t="s">
        <v>20</v>
      </c>
      <c r="D10" s="186" t="str">
        <f>+Schedule!D41</f>
        <v>Sanctifying Grace</v>
      </c>
      <c r="E10" s="187" t="str">
        <f>+Schedule!D42</f>
        <v>TBD -  Sanctifying</v>
      </c>
    </row>
    <row r="11" spans="1:6" s="73" customFormat="1" ht="18" customHeight="1" x14ac:dyDescent="0.3">
      <c r="A11" s="186" t="str">
        <f>+Schedule!D43</f>
        <v>Means of Grace</v>
      </c>
      <c r="B11" s="187" t="str">
        <f>+Schedule!D44</f>
        <v>&lt;SD Name&gt;</v>
      </c>
      <c r="C11" s="188"/>
      <c r="D11" s="186"/>
      <c r="E11" s="187"/>
    </row>
    <row r="12" spans="1:6" s="73" customFormat="1" ht="18" customHeight="1" x14ac:dyDescent="0.3">
      <c r="A12" s="186"/>
      <c r="B12" s="187"/>
      <c r="C12" s="188"/>
      <c r="D12" s="186"/>
      <c r="E12" s="187"/>
    </row>
    <row r="13" spans="1:6" ht="16.8" x14ac:dyDescent="0.3">
      <c r="A13" s="182" t="s">
        <v>48</v>
      </c>
      <c r="B13" s="92" t="str">
        <f>+TeamInfo!F21</f>
        <v>&lt;SD Name&gt;</v>
      </c>
      <c r="C13" s="92"/>
      <c r="D13" s="92" t="str">
        <f>+TeamInfo!F22</f>
        <v>&lt;SD2 Name&gt;</v>
      </c>
      <c r="E13" s="95"/>
    </row>
    <row r="14" spans="1:6" ht="16.8" x14ac:dyDescent="0.3">
      <c r="A14" s="220"/>
      <c r="B14" s="92"/>
      <c r="C14" s="221"/>
      <c r="D14" s="75"/>
      <c r="E14" s="73"/>
    </row>
    <row r="15" spans="1:6" ht="16.8" x14ac:dyDescent="0.3">
      <c r="A15" s="220" t="s">
        <v>365</v>
      </c>
      <c r="B15" s="283" t="s">
        <v>445</v>
      </c>
      <c r="C15" s="283"/>
      <c r="D15" s="283"/>
      <c r="E15" s="283"/>
      <c r="F15" s="220"/>
    </row>
  </sheetData>
  <mergeCells count="4">
    <mergeCell ref="A1:E1"/>
    <mergeCell ref="D2:E2"/>
    <mergeCell ref="B4:E4"/>
    <mergeCell ref="B15:E15"/>
  </mergeCell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F63"/>
  <sheetViews>
    <sheetView zoomScaleNormal="100" workbookViewId="0">
      <selection sqref="A1:E1"/>
    </sheetView>
  </sheetViews>
  <sheetFormatPr defaultRowHeight="13.2" x14ac:dyDescent="0.25"/>
  <cols>
    <col min="1" max="2" width="23.5546875" customWidth="1"/>
    <col min="3" max="3" width="2.33203125" customWidth="1"/>
    <col min="4" max="4" width="23.5546875" customWidth="1"/>
    <col min="5" max="5" width="24.44140625" customWidth="1"/>
  </cols>
  <sheetData>
    <row r="1" spans="1:5" ht="17.399999999999999" x14ac:dyDescent="0.3">
      <c r="A1" s="257" t="str">
        <f>+"New-Ark Area Emmaus "&amp;TeamInfo!D5&amp;" "&amp;TeamInfo!D6</f>
        <v xml:space="preserve">New-Ark Area Emmaus Wo/Men's Walk #NN </v>
      </c>
      <c r="B1" s="257"/>
      <c r="C1" s="257"/>
      <c r="D1" s="257"/>
      <c r="E1" s="257"/>
    </row>
    <row r="2" spans="1:5" ht="17.399999999999999" x14ac:dyDescent="0.3">
      <c r="A2" s="68" t="s">
        <v>296</v>
      </c>
      <c r="B2" s="21"/>
      <c r="C2" s="21"/>
      <c r="D2" s="282">
        <f>+Schedule!B35</f>
        <v>36588</v>
      </c>
      <c r="E2" s="282"/>
    </row>
    <row r="3" spans="1:5" ht="7.2" customHeight="1" x14ac:dyDescent="0.25">
      <c r="A3" s="14"/>
    </row>
    <row r="4" spans="1:5" ht="16.8" x14ac:dyDescent="0.3">
      <c r="A4" s="69" t="s">
        <v>27</v>
      </c>
      <c r="B4" s="74" t="s">
        <v>26</v>
      </c>
    </row>
    <row r="5" spans="1:5" ht="16.8" x14ac:dyDescent="0.3">
      <c r="A5" s="69" t="s">
        <v>3</v>
      </c>
      <c r="B5" s="92" t="str">
        <f>+Schedule!C35</f>
        <v>&lt;LD Name&gt;</v>
      </c>
    </row>
    <row r="6" spans="1:5" ht="16.8" x14ac:dyDescent="0.3">
      <c r="A6" s="69" t="s">
        <v>279</v>
      </c>
      <c r="B6" s="92" t="str">
        <f>+Schedule!E35</f>
        <v>TBA</v>
      </c>
      <c r="C6" s="92"/>
      <c r="D6" s="92"/>
      <c r="E6" s="17"/>
    </row>
    <row r="7" spans="1:5" ht="16.8" x14ac:dyDescent="0.3">
      <c r="A7" s="69" t="s">
        <v>28</v>
      </c>
      <c r="B7" s="93"/>
    </row>
    <row r="8" spans="1:5" ht="16.8" x14ac:dyDescent="0.3">
      <c r="A8" s="69" t="s">
        <v>29</v>
      </c>
      <c r="B8" s="92" t="str">
        <f>+TeamInfo!F27</f>
        <v>&lt;LD Name&gt;</v>
      </c>
    </row>
    <row r="9" spans="1:5" ht="7.2" customHeight="1" x14ac:dyDescent="0.3">
      <c r="A9" s="73"/>
    </row>
    <row r="10" spans="1:5" ht="16.8" x14ac:dyDescent="0.3">
      <c r="A10" s="69" t="s">
        <v>33</v>
      </c>
    </row>
    <row r="11" spans="1:5" ht="16.8" x14ac:dyDescent="0.3">
      <c r="A11" s="69" t="s">
        <v>107</v>
      </c>
    </row>
    <row r="12" spans="1:5" ht="16.8" x14ac:dyDescent="0.3">
      <c r="A12" s="69" t="s">
        <v>108</v>
      </c>
    </row>
    <row r="13" spans="1:5" ht="16.8" x14ac:dyDescent="0.3">
      <c r="A13" s="69" t="s">
        <v>274</v>
      </c>
    </row>
    <row r="14" spans="1:5" ht="16.8" x14ac:dyDescent="0.3">
      <c r="A14" s="69" t="s">
        <v>109</v>
      </c>
    </row>
    <row r="15" spans="1:5" ht="16.8" x14ac:dyDescent="0.3">
      <c r="A15" s="69" t="s">
        <v>110</v>
      </c>
    </row>
    <row r="16" spans="1:5" ht="18" customHeight="1" x14ac:dyDescent="0.3">
      <c r="A16" s="69" t="s">
        <v>300</v>
      </c>
    </row>
    <row r="17" spans="1:5" ht="15" customHeight="1" x14ac:dyDescent="0.3">
      <c r="A17" s="69" t="s">
        <v>275</v>
      </c>
    </row>
    <row r="18" spans="1:5" ht="7.2" customHeight="1" thickBot="1" x14ac:dyDescent="0.3">
      <c r="A18" s="16"/>
    </row>
    <row r="19" spans="1:5" ht="19.5" customHeight="1" thickBot="1" x14ac:dyDescent="0.3">
      <c r="A19" s="76" t="str">
        <f>+Schedule!D35</f>
        <v>Prevenient Grace</v>
      </c>
      <c r="B19" s="96" t="str">
        <f>+Schedule!D36</f>
        <v>TBD -  Prevenient</v>
      </c>
      <c r="C19" s="59" t="s">
        <v>20</v>
      </c>
      <c r="D19" s="79" t="str">
        <f>+Schedule!D37</f>
        <v>Justifying Grace</v>
      </c>
      <c r="E19" s="97" t="str">
        <f>+Schedule!D38</f>
        <v>TBD -  Justifying</v>
      </c>
    </row>
    <row r="20" spans="1:5" ht="16.8" x14ac:dyDescent="0.25">
      <c r="A20" s="80" t="s">
        <v>21</v>
      </c>
      <c r="B20" s="96" t="str">
        <f>IF(ISBLANK(VLOOKUP("Sat. Mtg-1",Previews!A9:E31,5,FALSE)),"",VLOOKUP("Sat. Mtg-1",Previews!A9:E31,5,FALSE))</f>
        <v>&lt;ALD2 Name&gt;</v>
      </c>
      <c r="C20" s="60"/>
      <c r="D20" s="80" t="s">
        <v>21</v>
      </c>
      <c r="E20" s="96" t="str">
        <f>IF(ISBLANK(VLOOKUP("Sat. Mtg-2",Previews!A9:E31,5,FALSE)),"",VLOOKUP("Sat. Mtg-2",Previews!A9:E31,5,FALSE))</f>
        <v>&lt;ALD3 Name&gt;</v>
      </c>
    </row>
    <row r="21" spans="1:5" ht="16.8" x14ac:dyDescent="0.25">
      <c r="A21" s="82" t="s">
        <v>162</v>
      </c>
      <c r="B21" s="78" t="str">
        <f>IF(ISBLANK(VLOOKUP("Sat. Mtg-1",Previews!A9:C31,3,FALSE)),"",VLOOKUP("Sat. Mtg-1",Previews!A9:C31,3,FALSE))</f>
        <v>Pp. 25, 71</v>
      </c>
      <c r="C21" s="60"/>
      <c r="D21" s="82" t="s">
        <v>162</v>
      </c>
      <c r="E21" s="78" t="str">
        <f>IF(ISBLANK(VLOOKUP("Sat. Mtg-2",Previews!A9:C31,3,FALSE)),"",VLOOKUP("Sat. Mtg-2",Previews!A9:C31,3,FALSE))</f>
        <v>Pp. 25, 72</v>
      </c>
    </row>
    <row r="22" spans="1:5" ht="15" customHeight="1" x14ac:dyDescent="0.25">
      <c r="A22" s="82" t="s">
        <v>200</v>
      </c>
      <c r="B22" s="61" t="s">
        <v>22</v>
      </c>
      <c r="C22" s="62"/>
      <c r="D22" s="82" t="s">
        <v>200</v>
      </c>
      <c r="E22" s="61" t="s">
        <v>23</v>
      </c>
    </row>
    <row r="23" spans="1:5" ht="15.6" x14ac:dyDescent="0.25">
      <c r="A23" s="99" t="str">
        <f>IF(ISBLANK(VLOOKUP("Sat. Mtg-1",Previews!$A$9:$G$31,7,FALSE)),"",VLOOKUP("Sat. Mtg-1",Previews!$A$9:$G$31,7,FALSE))</f>
        <v>&lt;ALD2 Name&gt;</v>
      </c>
      <c r="B23" s="98" t="str">
        <f>IF(ISBLANK(VLOOKUP("Sat. Mtg-1",Previews!$A$9:$H$31,8,FALSE)),"",VLOOKUP("Sat. Mtg-1",Previews!$A$9:$H$31,8,FALSE))</f>
        <v>&lt;ALD1 Name&gt;</v>
      </c>
      <c r="C23" s="62"/>
      <c r="D23" s="99" t="str">
        <f>IF(ISBLANK(VLOOKUP("Sat. Mtg-2",Previews!$A$9:$G$31,7,FALSE)),"",VLOOKUP("Sat. Mtg-2",Previews!$A$9:$G$31,7,FALSE))</f>
        <v>&lt;ALD3 Name&gt;</v>
      </c>
      <c r="E23" s="98" t="str">
        <f>IF(ISBLANK(VLOOKUP("Sat. Mtg-2",Previews!$A$9:$H$31,8,FALSE)),"",VLOOKUP("Sat. Mtg-2",Previews!$A$9:$H$31,8,FALSE))</f>
        <v>&lt;LD Name&gt;</v>
      </c>
    </row>
    <row r="24" spans="1:5" ht="15.6" x14ac:dyDescent="0.25">
      <c r="A24" s="99" t="str">
        <f>IF(ISBLANK(VLOOKUP("Sat. Mtg-1",Previews!$A$9:$I$31,9,FALSE)),"",VLOOKUP("Sat. Mtg-1",Previews!$A$9:$I$31,9,FALSE))</f>
        <v>&lt;TL1 Name&gt;</v>
      </c>
      <c r="B24" s="98" t="str">
        <f>IF(ISBLANK(VLOOKUP("Sat. Mtg-1",Previews!$A$9:$J$31,10,FALSE)),"",VLOOKUP("Sat. Mtg-1",Previews!$A$9:$J$31,10,FALSE))</f>
        <v>&lt;TL2 Name&gt;</v>
      </c>
      <c r="C24" s="62"/>
      <c r="D24" s="99" t="str">
        <f>IF(ISBLANK(VLOOKUP("Sat. Mtg-2",Previews!$A$9:$I$31,9,FALSE)),"",VLOOKUP("Sat. Mtg-2",Previews!$A$9:$I$31,9,FALSE))</f>
        <v>&lt;ATL1 Name&gt;</v>
      </c>
      <c r="E24" s="98" t="str">
        <f>IF(ISBLANK(VLOOKUP("Sat. Mtg-2",Previews!$A$9:$J$31,10,FALSE)),"",VLOOKUP("Sat. Mtg-2",Previews!$A$9:$J$31,10,FALSE))</f>
        <v>&lt;ATL2 Name&gt;</v>
      </c>
    </row>
    <row r="25" spans="1:5" ht="15.6" x14ac:dyDescent="0.25">
      <c r="A25" s="99" t="str">
        <f>IF(ISBLANK(VLOOKUP("Sat. Mtg-1",Previews!$A$9:$K$31,11,FALSE)),"",VLOOKUP("Sat. Mtg-1",Previews!$A$9:$K$31,11,FALSE))</f>
        <v>&lt;ATL3 Name&gt;</v>
      </c>
      <c r="B25" s="98" t="str">
        <f>IF(ISBLANK(VLOOKUP("Sat. Mtg-1",Previews!$A$9:$L$31,12,FALSE)),"",VLOOKUP("Sat. Mtg-1",Previews!$A$9:$L$31,12,FALSE))</f>
        <v>&lt;ATL4 Name&gt;</v>
      </c>
      <c r="C25" s="62"/>
      <c r="D25" s="99" t="str">
        <f>IF(ISBLANK(VLOOKUP("Sat. Mtg-2",Previews!$A$9:$K$31,11,FALSE)),"",VLOOKUP("Sat. Mtg-2",Previews!$A$9:$K$31,11,FALSE))</f>
        <v>&lt;TL3 Name&gt;</v>
      </c>
      <c r="E25" s="98" t="str">
        <f>IF(ISBLANK(VLOOKUP("Sat. Mtg-2",Previews!$A$9:$L$31,12,FALSE)),"",VLOOKUP("Sat. Mtg-2",Previews!$A$9:$L$31,12,FALSE))</f>
        <v>&lt;TL4 Name&gt;</v>
      </c>
    </row>
    <row r="26" spans="1:5" ht="14.25" customHeight="1" x14ac:dyDescent="0.25">
      <c r="A26" s="99" t="str">
        <f>IF(ISBLANK(VLOOKUP("Sat. Mtg-1",Previews!$A$9:$M$31,13,FALSE)),"",VLOOKUP("Sat. Mtg-1",Previews!$A$9:$M$31,13,FALSE))</f>
        <v>&lt;ATL5 Name&gt;</v>
      </c>
      <c r="B26" s="98" t="str">
        <f>IF(ISBLANK(VLOOKUP("Sat. Mtg-1",Previews!$A$9:$N$31,14,FALSE)),"",VLOOKUP("Sat. Mtg-1",Previews!$A$9:$N$31,14,FALSE))</f>
        <v>&lt;TL6 Name&gt;</v>
      </c>
      <c r="C26" s="289"/>
      <c r="D26" s="99" t="str">
        <f>IF(ISBLANK(VLOOKUP("Sat. Mtg-2",Previews!$A$9:$M$31,13,FALSE)),"",VLOOKUP("Sat. Mtg-2",Previews!$A$9:$M$31,13,FALSE))</f>
        <v>&lt;TL5 Name&gt;</v>
      </c>
      <c r="E26" s="98" t="str">
        <f>IF(ISBLANK(VLOOKUP("Sat. Mtg-2",Previews!$A$9:$N$31,14,FALSE)),"",VLOOKUP("Sat. Mtg-2",Previews!$A$9:$N$31,14,FALSE))</f>
        <v>&lt;TL7 Name&gt;</v>
      </c>
    </row>
    <row r="27" spans="1:5" ht="14.25" customHeight="1" x14ac:dyDescent="0.25">
      <c r="A27" s="99" t="str">
        <f>IF(ISBLANK(VLOOKUP("Sat. Mtg-1",Previews!$A$9:$O$31,15,FALSE)),"",VLOOKUP("Sat. Mtg-1",Previews!$A$9:$O$31,15,FALSE))</f>
        <v>&lt;BR Name&gt;</v>
      </c>
      <c r="B27" s="98" t="str">
        <f>IF(ISBLANK(VLOOKUP("Sat. Mtg-1",Previews!$A$9:$P$31,16,FALSE)),"",VLOOKUP("Sat. Mtg-1",Previews!$A$9:$P$31,16,FALSE))</f>
        <v>&lt;MD Name&gt;</v>
      </c>
      <c r="C27" s="289"/>
      <c r="D27" s="99" t="str">
        <f>IF(ISBLANK(VLOOKUP("Sat. Mtg-2",Previews!$A$9:$O$31,15,FALSE)),"",VLOOKUP("Sat. Mtg-2",Previews!$A$9:$O$31,15,FALSE))</f>
        <v>&lt;TD Name&gt;</v>
      </c>
      <c r="E27" s="98" t="str">
        <f>IF(ISBLANK(VLOOKUP("Sat. Mtg-2",Previews!$A$9:$P$31,16,FALSE)),"",VLOOKUP("Sat. Mtg-2",Previews!$A$9:$P$31,16,FALSE))</f>
        <v>&lt;SD Name&gt;</v>
      </c>
    </row>
    <row r="28" spans="1:5" ht="15" customHeight="1" thickBot="1" x14ac:dyDescent="0.3">
      <c r="A28" s="101" t="str">
        <f>IF(ISBLANK(VLOOKUP("Sat. Mtg-1",Previews!$A$9:$Q$31,17,FALSE)),"",VLOOKUP("Sat. Mtg-1",Previews!$A$9:$Q$31,17,FALSE))</f>
        <v>&lt;SD2 Name&gt;</v>
      </c>
      <c r="B28" s="102" t="str">
        <f>IF(ISBLANK(VLOOKUP("Sat. Mtg-1",Previews!$A$9:$R$31,18,FALSE)),"",VLOOKUP("Sat. Mtg-1",Previews!$A$9:$R$31,18,FALSE))</f>
        <v>&lt;TD2 Name&gt;</v>
      </c>
      <c r="C28" s="62"/>
      <c r="D28" s="101" t="str">
        <f>IF(ISBLANK(VLOOKUP("Sat. Mtg-2",Previews!$A$9:$Q$31,17,FALSE)),"",VLOOKUP("Sat. Mtg-2",Previews!$A$9:$Q$31,17,FALSE))</f>
        <v>&lt;MD2 Name&gt;</v>
      </c>
      <c r="E28" s="102" t="str">
        <f>IF(ISBLANK(VLOOKUP("Sat. Mtg-2",Previews!$A$9:$R$31,18,FALSE)),"",VLOOKUP("Sat. Mtg-2",Previews!$A$9:$R$31,18,FALSE))</f>
        <v/>
      </c>
    </row>
    <row r="29" spans="1:5" ht="7.2" customHeight="1" thickBot="1" x14ac:dyDescent="0.3">
      <c r="A29" s="63"/>
      <c r="C29" s="62"/>
      <c r="D29" s="63"/>
      <c r="E29" s="63"/>
    </row>
    <row r="30" spans="1:5" ht="19.5" customHeight="1" thickBot="1" x14ac:dyDescent="0.3">
      <c r="A30" s="76" t="str">
        <f>+Schedule!D39</f>
        <v>Obstacles to Grace</v>
      </c>
      <c r="B30" s="96" t="str">
        <f>+Schedule!D40</f>
        <v>TBD -  Obstacles</v>
      </c>
      <c r="C30" s="59" t="s">
        <v>20</v>
      </c>
      <c r="D30" s="79" t="str">
        <f>+Schedule!D41</f>
        <v>Sanctifying Grace</v>
      </c>
      <c r="E30" s="97" t="str">
        <f>+Schedule!D42</f>
        <v>TBD -  Sanctifying</v>
      </c>
    </row>
    <row r="31" spans="1:5" ht="16.8" x14ac:dyDescent="0.25">
      <c r="A31" s="80" t="s">
        <v>21</v>
      </c>
      <c r="B31" s="96" t="str">
        <f>IF(ISBLANK(VLOOKUP("Sat. Mtg-3",Previews!A9:E31,5,FALSE)),"",VLOOKUP("Sat. Mtg-3",Previews!A9:E31,5,FALSE))</f>
        <v>&lt;ALD2 Name&gt;</v>
      </c>
      <c r="C31" s="60"/>
      <c r="D31" s="80" t="s">
        <v>21</v>
      </c>
      <c r="E31" s="96" t="str">
        <f>IF(ISBLANK(VLOOKUP("Sat. Mtg-4",Previews!A9:E31,5,FALSE)),"",VLOOKUP("Sat. Mtg-4",Previews!A9:E31,5,FALSE))</f>
        <v>&lt;ALD3 Name&gt;</v>
      </c>
    </row>
    <row r="32" spans="1:5" ht="16.8" x14ac:dyDescent="0.25">
      <c r="A32" s="82" t="s">
        <v>162</v>
      </c>
      <c r="B32" s="78" t="str">
        <f>IF(ISBLANK(VLOOKUP("Sat. Mtg-3",Previews!A9:C31,3,FALSE)),"",VLOOKUP("Sat. Mtg-3",Previews!A9:C31,3,FALSE))</f>
        <v>Pp. 28-29, 73</v>
      </c>
      <c r="C32" s="60"/>
      <c r="D32" s="82" t="s">
        <v>162</v>
      </c>
      <c r="E32" s="78" t="str">
        <f>IF(ISBLANK(VLOOKUP("Sat. Mtg-4",Previews!A9:C31,3,FALSE)),"",VLOOKUP("Sat. Mtg-4",Previews!A9:C31,3,FALSE))</f>
        <v>Pp. 36, 74</v>
      </c>
    </row>
    <row r="33" spans="1:5" ht="15" customHeight="1" x14ac:dyDescent="0.25">
      <c r="A33" s="82" t="s">
        <v>200</v>
      </c>
      <c r="B33" s="61" t="s">
        <v>22</v>
      </c>
      <c r="C33" s="62"/>
      <c r="D33" s="82" t="s">
        <v>200</v>
      </c>
      <c r="E33" s="61" t="s">
        <v>23</v>
      </c>
    </row>
    <row r="34" spans="1:5" ht="15.6" x14ac:dyDescent="0.25">
      <c r="A34" s="99" t="str">
        <f>IF(ISBLANK(VLOOKUP("Sat. Mtg-3",Previews!$A$9:$G$31,7,FALSE)),"",VLOOKUP("Sat. Mtg-3",Previews!$A$9:$G$31,7,FALSE))</f>
        <v>&lt;ALD2 Name&gt;</v>
      </c>
      <c r="B34" s="98" t="str">
        <f>IF(ISBLANK(VLOOKUP("Sat. Mtg-3",Previews!$A$9:$H$31,8,FALSE)),"",VLOOKUP("Sat. Mtg-3",Previews!$A$9:$H$31,8,FALSE))</f>
        <v>&lt;LD Name&gt;</v>
      </c>
      <c r="C34" s="62"/>
      <c r="D34" s="99" t="str">
        <f>IF(ISBLANK(VLOOKUP("Sat. Mtg-4",Previews!$A$9:$G$31,7,FALSE)),"",VLOOKUP("Sat. Mtg-4",Previews!$A$9:$G$31,7,FALSE))</f>
        <v>&lt;ALD3 Name&gt;</v>
      </c>
      <c r="E34" s="98" t="str">
        <f>IF(ISBLANK(VLOOKUP("Sat. Mtg-4",Previews!$A$9:$H$31,8,FALSE)),"",VLOOKUP("Sat. Mtg-4",Previews!$A$9:$H$31,8,FALSE))</f>
        <v>&lt;ALD1 Name&gt;</v>
      </c>
    </row>
    <row r="35" spans="1:5" ht="15.6" x14ac:dyDescent="0.25">
      <c r="A35" s="99" t="str">
        <f>IF(ISBLANK(VLOOKUP("Sat. Mtg-3",Previews!$A$9:$I$31,9,FALSE)),"",VLOOKUP("Sat. Mtg-3",Previews!$A$9:$I$31,9,FALSE))</f>
        <v>&lt;TL1 Name&gt;</v>
      </c>
      <c r="B35" s="98" t="str">
        <f>IF(ISBLANK(VLOOKUP("Sat. Mtg-3",Previews!$A$9:$J$31,10,FALSE)),"",VLOOKUP("Sat. Mtg-3",Previews!$A$9:$J$31,10,FALSE))</f>
        <v>&lt;ATL2 Name&gt;</v>
      </c>
      <c r="C35" s="62"/>
      <c r="D35" s="99" t="str">
        <f>IF(ISBLANK(VLOOKUP("Sat. Mtg-4",Previews!$A$9:$I$31,9,FALSE)),"",VLOOKUP("Sat. Mtg-4",Previews!$A$9:$I$31,9,FALSE))</f>
        <v>&lt;ATL1 Name&gt;</v>
      </c>
      <c r="E35" s="98" t="str">
        <f>IF(ISBLANK(VLOOKUP("Sat. Mtg-4",Previews!$A$9:$J$31,10,FALSE)),"",VLOOKUP("Sat. Mtg-4",Previews!$A$9:$J$31,10,FALSE))</f>
        <v>&lt;TL2 Name&gt;</v>
      </c>
    </row>
    <row r="36" spans="1:5" ht="15.6" x14ac:dyDescent="0.25">
      <c r="A36" s="99" t="str">
        <f>IF(ISBLANK(VLOOKUP("Sat. Mtg-3",Previews!$A$9:$K$31,11,FALSE)),"",VLOOKUP("Sat. Mtg-3",Previews!$A$9:$K$31,11,FALSE))</f>
        <v>&lt;ATL3 Name&gt;</v>
      </c>
      <c r="B36" s="98" t="str">
        <f>IF(ISBLANK(VLOOKUP("Sat. Mtg-3",Previews!$A$9:$L$31,12,FALSE)),"",VLOOKUP("Sat. Mtg-3",Previews!$A$9:$L$31,12,FALSE))</f>
        <v>&lt;TL4 Name&gt;</v>
      </c>
      <c r="C36" s="62"/>
      <c r="D36" s="99" t="str">
        <f>IF(ISBLANK(VLOOKUP("Sat. Mtg-4",Previews!$A$9:$K$31,11,FALSE)),"",VLOOKUP("Sat. Mtg-4",Previews!$A$9:$K$31,11,FALSE))</f>
        <v>&lt;TL3 Name&gt;</v>
      </c>
      <c r="E36" s="98" t="str">
        <f>IF(ISBLANK(VLOOKUP("Sat. Mtg-4",Previews!$A$9:$L$31,12,FALSE)),"",VLOOKUP("Sat. Mtg-4",Previews!$A$9:$L$31,12,FALSE))</f>
        <v>&lt;ATL4 Name&gt;</v>
      </c>
    </row>
    <row r="37" spans="1:5" ht="14.25" customHeight="1" x14ac:dyDescent="0.25">
      <c r="A37" s="99" t="str">
        <f>IF(ISBLANK(VLOOKUP("Sat. Mtg-3",Previews!$A$9:$M$31,13,FALSE)),"",VLOOKUP("Sat. Mtg-3",Previews!$A$9:$M$31,13,FALSE))</f>
        <v>&lt;TL5 Name&gt;</v>
      </c>
      <c r="B37" s="98" t="str">
        <f>IF(ISBLANK(VLOOKUP("Sat. Mtg-3",Previews!$A$9:$N$31,14,FALSE)),"",VLOOKUP("Sat. Mtg-3",Previews!$A$9:$N$31,14,FALSE))</f>
        <v>&lt;TL6 Name&gt;</v>
      </c>
      <c r="C37" s="289"/>
      <c r="D37" s="99" t="str">
        <f>IF(ISBLANK(VLOOKUP("Sat. Mtg-4",Previews!$A$9:$M$31,13,FALSE)),"",VLOOKUP("Sat. Mtg-4",Previews!$A$9:$M$31,13,FALSE))</f>
        <v>&lt;ATL5 Name&gt;</v>
      </c>
      <c r="E37" s="98" t="str">
        <f>IF(ISBLANK(VLOOKUP("Sat. Mtg-4",Previews!$A$9:$N$31,14,FALSE)),"",VLOOKUP("Sat. Mtg-4",Previews!$A$9:$N$31,14,FALSE))</f>
        <v>&lt;TL7 Name&gt;</v>
      </c>
    </row>
    <row r="38" spans="1:5" ht="14.25" customHeight="1" x14ac:dyDescent="0.25">
      <c r="A38" s="99" t="str">
        <f>IF(ISBLANK(VLOOKUP("Sat. Mtg-3",Previews!$A$9:$O$31,15,FALSE)),"",VLOOKUP("Sat. Mtg-3",Previews!$A$9:$O$31,15,FALSE))</f>
        <v>&lt;BR Name&gt;</v>
      </c>
      <c r="B38" s="98" t="str">
        <f>IF(ISBLANK(VLOOKUP("Sat. Mtg-3",Previews!$A$9:$P$31,16,FALSE)),"",VLOOKUP("Sat. Mtg-3",Previews!$A$9:$P$31,16,FALSE))</f>
        <v>&lt;TD Name&gt;</v>
      </c>
      <c r="C38" s="289"/>
      <c r="D38" s="99" t="str">
        <f>IF(ISBLANK(VLOOKUP("Sat. Mtg-4",Previews!$A$9:$O$31,15,FALSE)),"",VLOOKUP("Sat. Mtg-4",Previews!$A$9:$O$31,15,FALSE))</f>
        <v>&lt;MD Name&gt;</v>
      </c>
      <c r="E38" s="98" t="str">
        <f>IF(ISBLANK(VLOOKUP("Sat. Mtg-4",Previews!$A$9:$P$31,16,FALSE)),"",VLOOKUP("Sat. Mtg-4",Previews!$A$9:$P$31,16,FALSE))</f>
        <v>&lt;SD Name&gt;</v>
      </c>
    </row>
    <row r="39" spans="1:5" ht="15" customHeight="1" thickBot="1" x14ac:dyDescent="0.3">
      <c r="A39" s="101" t="str">
        <f>IF(ISBLANK(VLOOKUP("Sat. Mtg-3",Previews!$A$9:$Q$31,17,FALSE)),"",VLOOKUP("Sat. Mtg-3",Previews!$A$9:$Q$31,17,FALSE))</f>
        <v>&lt;SD2 Name&gt;</v>
      </c>
      <c r="B39" s="102" t="str">
        <f>IF(ISBLANK(VLOOKUP("Sat. Mtg-3",Previews!$A$9:$R$31,18,FALSE)),"",VLOOKUP("Sat. Mtg-3",Previews!$A$9:$R$31,18,FALSE))</f>
        <v>&lt;MD2 Name&gt;</v>
      </c>
      <c r="C39" s="62"/>
      <c r="D39" s="101" t="str">
        <f>IF(ISBLANK(VLOOKUP("Sat. Mtg-4",Previews!$A$9:$Q$31,17,FALSE)),"",VLOOKUP("Sat. Mtg-4",Previews!$A$9:$Q$31,17,FALSE))</f>
        <v>&lt;TD2 Name&gt;</v>
      </c>
      <c r="E39" s="102" t="str">
        <f>IF(ISBLANK(VLOOKUP("Sat. Mtg-4",Previews!$A$9:$R$31,18,FALSE)),"",VLOOKUP("Sat. Mtg-4",Previews!$A$9:$R$31,18,FALSE))</f>
        <v/>
      </c>
    </row>
    <row r="40" spans="1:5" ht="7.2" customHeight="1" x14ac:dyDescent="0.25">
      <c r="A40" s="63"/>
      <c r="B40" s="63"/>
      <c r="C40" s="62"/>
      <c r="D40" s="63"/>
      <c r="E40" s="63"/>
    </row>
    <row r="41" spans="1:5" ht="16.8" x14ac:dyDescent="0.3">
      <c r="A41" s="90" t="s">
        <v>34</v>
      </c>
      <c r="B41" s="92" t="str">
        <f>IF(ISBLANK(VLOOKUP("Sat. Mtg-1",Previews!A9:F31,6,FALSE)),"",VLOOKUP("Sat. Mtg-1",Previews!A9:F31,6,FALSE))</f>
        <v>&lt;LD Name&gt;</v>
      </c>
      <c r="C41" s="92"/>
      <c r="D41" s="95"/>
    </row>
    <row r="42" spans="1:5" ht="16.8" x14ac:dyDescent="0.3">
      <c r="A42" s="69" t="s">
        <v>35</v>
      </c>
      <c r="B42" s="92" t="str">
        <f>IF(ISBLANK(VLOOKUP("Sat. Mtg-1",Previews!A9:G31,7,FALSE)),"",VLOOKUP("Sat. Mtg-1",Previews!A9:G31,7,FALSE))</f>
        <v>&lt;ALD2 Name&gt;</v>
      </c>
      <c r="C42" s="92"/>
      <c r="D42" s="92" t="str">
        <f>IF(ISBLANK(VLOOKUP("Sat. Mtg-2",Previews!A9:G31,7,FALSE)),"",VLOOKUP("Sat. Mtg-2",Previews!A9:G31,7,FALSE))</f>
        <v>&lt;ALD3 Name&gt;</v>
      </c>
    </row>
    <row r="43" spans="1:5" ht="7.2" customHeight="1" x14ac:dyDescent="0.3">
      <c r="A43" s="69"/>
      <c r="B43" s="92"/>
      <c r="C43" s="92"/>
      <c r="D43" s="95"/>
    </row>
    <row r="44" spans="1:5" ht="7.2" customHeight="1" thickBot="1" x14ac:dyDescent="0.35">
      <c r="A44" s="2"/>
      <c r="B44" s="17"/>
      <c r="C44" s="17"/>
      <c r="D44" s="17"/>
      <c r="E44" s="17"/>
    </row>
    <row r="45" spans="1:5" ht="17.399999999999999" thickBot="1" x14ac:dyDescent="0.3">
      <c r="A45" s="128" t="str">
        <f>Schedule!D43</f>
        <v>Means of Grace</v>
      </c>
      <c r="B45" s="97" t="str">
        <f>Schedule!D44</f>
        <v>&lt;SD Name&gt;</v>
      </c>
      <c r="C45" s="17"/>
      <c r="D45" s="17"/>
      <c r="E45" s="17"/>
    </row>
    <row r="46" spans="1:5" ht="16.8" x14ac:dyDescent="0.25">
      <c r="A46" s="82" t="s">
        <v>21</v>
      </c>
      <c r="B46" s="98" t="str">
        <f>IF(ISBLANK(VLOOKUP("Sat. Mtg-5",Previews!A9:E31,5,FALSE)),"",VLOOKUP("Sat. Mtg-5",Previews!A9:E31,5,FALSE))</f>
        <v>&lt;ALD1 Name&gt;</v>
      </c>
      <c r="C46" s="17"/>
      <c r="D46" s="17"/>
      <c r="E46" s="17"/>
    </row>
    <row r="47" spans="1:5" ht="16.8" x14ac:dyDescent="0.3">
      <c r="A47" s="82" t="s">
        <v>162</v>
      </c>
      <c r="B47" s="134" t="str">
        <f>IF(ISBLANK(VLOOKUP("Sat. Mtg-5",Previews!A9:C31,3,FALSE)),"",VLOOKUP("Sat. Mtg-5",Previews!A9:C31,3,FALSE))</f>
        <v>Pp. 28, 72</v>
      </c>
      <c r="C47" s="17"/>
      <c r="D47" s="17"/>
      <c r="E47" s="17"/>
    </row>
    <row r="48" spans="1:5" ht="15" customHeight="1" x14ac:dyDescent="0.3">
      <c r="A48" s="82" t="s">
        <v>200</v>
      </c>
      <c r="B48" s="133" t="s">
        <v>189</v>
      </c>
      <c r="C48" s="17"/>
      <c r="D48" s="17"/>
      <c r="E48" s="17"/>
    </row>
    <row r="49" spans="1:6" ht="4.5" customHeight="1" thickBot="1" x14ac:dyDescent="0.3">
      <c r="A49" s="65" t="str">
        <f>IF(ISBLANK(VLOOKUP("Sat. Mtg-5",Previews!A9:R31,18,FALSE)),"",VLOOKUP("Sat. Mtg-5",Previews!A9:R31,18,FALSE))</f>
        <v/>
      </c>
      <c r="B49" s="66"/>
      <c r="C49" s="17"/>
      <c r="D49" s="17"/>
      <c r="E49" s="17"/>
    </row>
    <row r="50" spans="1:6" ht="6" customHeight="1" x14ac:dyDescent="0.25">
      <c r="A50" s="60"/>
      <c r="C50" s="17"/>
      <c r="D50" s="17"/>
      <c r="E50" s="17"/>
    </row>
    <row r="51" spans="1:6" ht="16.8" x14ac:dyDescent="0.3">
      <c r="A51" s="90" t="s">
        <v>34</v>
      </c>
      <c r="B51" s="92" t="str">
        <f>IF(ISBLANK(VLOOKUP("Sat. Mtg-5",Previews!A9:F31,6,FALSE)),"",VLOOKUP("Sat. Mtg-5",Previews!A9:F31,6,FALSE))</f>
        <v>&lt;LD Name&gt;</v>
      </c>
      <c r="C51" s="92"/>
      <c r="D51" s="95"/>
      <c r="E51" s="95"/>
    </row>
    <row r="52" spans="1:6" ht="16.8" x14ac:dyDescent="0.3">
      <c r="A52" s="69" t="s">
        <v>35</v>
      </c>
      <c r="B52" s="92" t="str">
        <f>IF(ISBLANK(VLOOKUP("Sat. Mtg-5",Previews!A9:G31,7,FALSE)),"",VLOOKUP("Sat. Mtg-5",Previews!A9:G31,7,FALSE))</f>
        <v>&lt;ALD1 Name&gt;</v>
      </c>
      <c r="C52" s="92"/>
      <c r="D52" s="95"/>
      <c r="E52" s="95"/>
    </row>
    <row r="53" spans="1:6" ht="7.95" customHeight="1" x14ac:dyDescent="0.3">
      <c r="A53" s="69"/>
      <c r="B53" s="92"/>
      <c r="C53" s="92"/>
      <c r="D53" s="92"/>
      <c r="E53" s="92"/>
    </row>
    <row r="54" spans="1:6" ht="16.8" x14ac:dyDescent="0.3">
      <c r="A54" s="69" t="s">
        <v>24</v>
      </c>
      <c r="B54" s="92"/>
      <c r="C54" s="95"/>
      <c r="D54" s="95"/>
      <c r="E54" s="95"/>
    </row>
    <row r="55" spans="1:6" ht="16.8" x14ac:dyDescent="0.3">
      <c r="A55" s="69" t="s">
        <v>331</v>
      </c>
      <c r="B55" s="92" t="str">
        <f>+TeamInfo!$F$30</f>
        <v>&lt;ALD3 Name&gt;</v>
      </c>
      <c r="C55" s="135" t="s">
        <v>439</v>
      </c>
      <c r="D55" s="135"/>
      <c r="E55" s="135"/>
      <c r="F55" s="69"/>
    </row>
    <row r="56" spans="1:6" ht="16.8" x14ac:dyDescent="0.3">
      <c r="A56" s="69" t="s">
        <v>329</v>
      </c>
      <c r="B56" s="92"/>
      <c r="C56" s="109" t="s">
        <v>367</v>
      </c>
      <c r="D56" s="69"/>
      <c r="E56" s="69"/>
      <c r="F56" s="69"/>
    </row>
    <row r="57" spans="1:6" ht="16.8" x14ac:dyDescent="0.3">
      <c r="A57" s="69"/>
      <c r="B57" s="92"/>
      <c r="C57" s="69" t="s">
        <v>330</v>
      </c>
      <c r="D57" s="69"/>
      <c r="E57" s="69"/>
      <c r="F57" s="69"/>
    </row>
    <row r="58" spans="1:6" ht="6" customHeight="1" x14ac:dyDescent="0.3">
      <c r="A58" s="73"/>
      <c r="B58" s="95"/>
      <c r="C58" s="69"/>
      <c r="D58" s="69"/>
      <c r="E58" s="69"/>
      <c r="F58" s="69"/>
    </row>
    <row r="59" spans="1:6" ht="16.8" x14ac:dyDescent="0.3">
      <c r="A59" s="69" t="s">
        <v>126</v>
      </c>
      <c r="B59" s="92" t="str">
        <f>+TeamInfo!$F$32</f>
        <v>&lt;TD Name&gt;</v>
      </c>
      <c r="C59" s="69"/>
      <c r="D59" s="92" t="str">
        <f>IF(ISBLANK(TeamInfo!$F$33),"",TeamInfo!$F$33)</f>
        <v>&lt;TD2 Name&gt;</v>
      </c>
      <c r="E59" s="69"/>
      <c r="F59" s="69"/>
    </row>
    <row r="60" spans="1:6" s="95" customFormat="1" ht="16.8" x14ac:dyDescent="0.3">
      <c r="A60" s="69" t="str">
        <f>"     Email talk to "&amp;TeamInfo!$D$9&amp;"td@new-arkemmaus.org with copy to "&amp;TeamInfo!$D$9&amp;"ld@new-arkemmaus.org"</f>
        <v xml:space="preserve">     Email talk to mwtd@new-arkemmaus.org with copy to mwld@new-arkemmaus.org</v>
      </c>
      <c r="B60" s="69"/>
      <c r="C60" s="69"/>
      <c r="D60" s="69"/>
      <c r="E60" s="69"/>
    </row>
    <row r="61" spans="1:6" ht="7.95" customHeight="1" x14ac:dyDescent="0.3">
      <c r="A61" s="69"/>
      <c r="B61" s="92"/>
      <c r="C61" s="92"/>
      <c r="D61" s="92"/>
      <c r="E61" s="92"/>
    </row>
    <row r="62" spans="1:6" ht="16.8" x14ac:dyDescent="0.3">
      <c r="A62" s="69" t="s">
        <v>47</v>
      </c>
      <c r="B62" s="92" t="str">
        <f>+TeamInfo!F27</f>
        <v>&lt;LD Name&gt;</v>
      </c>
      <c r="C62" s="95"/>
      <c r="D62" s="95"/>
      <c r="E62" s="95"/>
    </row>
    <row r="63" spans="1:6" ht="16.8" x14ac:dyDescent="0.3">
      <c r="A63" s="69" t="s">
        <v>48</v>
      </c>
      <c r="B63" s="92" t="str">
        <f>+TeamInfo!F21</f>
        <v>&lt;SD Name&gt;</v>
      </c>
      <c r="C63" s="92"/>
      <c r="D63" s="92" t="str">
        <f>IF(ISBLANK(TeamInfo!F22),"",TeamInfo!F22)</f>
        <v>&lt;SD2 Name&gt;</v>
      </c>
      <c r="E63" s="95"/>
    </row>
  </sheetData>
  <mergeCells count="4">
    <mergeCell ref="A1:E1"/>
    <mergeCell ref="C37:C38"/>
    <mergeCell ref="C26:C27"/>
    <mergeCell ref="D2:E2"/>
  </mergeCells>
  <phoneticPr fontId="6" type="noConversion"/>
  <pageMargins left="0.5" right="0.38" top="0.35" bottom="0.35" header="0.25" footer="0.25"/>
  <pageSetup orientation="portrait" r:id="rId1"/>
  <headerFooter alignWithMargins="0"/>
  <rowBreaks count="1" manualBreakCount="1">
    <brk id="52" max="1638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B16"/>
  <sheetViews>
    <sheetView workbookViewId="0"/>
  </sheetViews>
  <sheetFormatPr defaultRowHeight="13.2" x14ac:dyDescent="0.25"/>
  <cols>
    <col min="1" max="1" width="22.6640625" customWidth="1"/>
    <col min="2" max="2" width="18.109375" customWidth="1"/>
  </cols>
  <sheetData>
    <row r="1" spans="1:2" x14ac:dyDescent="0.25">
      <c r="A1" t="s">
        <v>18</v>
      </c>
      <c r="B1" t="s">
        <v>201</v>
      </c>
    </row>
    <row r="2" spans="1:2" x14ac:dyDescent="0.25">
      <c r="A2" t="s">
        <v>17</v>
      </c>
      <c r="B2" t="s">
        <v>202</v>
      </c>
    </row>
    <row r="3" spans="1:2" x14ac:dyDescent="0.25">
      <c r="A3" t="s">
        <v>15</v>
      </c>
      <c r="B3" t="s">
        <v>203</v>
      </c>
    </row>
    <row r="4" spans="1:2" x14ac:dyDescent="0.25">
      <c r="A4" t="s">
        <v>16</v>
      </c>
      <c r="B4" t="s">
        <v>204</v>
      </c>
    </row>
    <row r="5" spans="1:2" x14ac:dyDescent="0.25">
      <c r="A5" t="s">
        <v>84</v>
      </c>
      <c r="B5" t="s">
        <v>205</v>
      </c>
    </row>
    <row r="6" spans="1:2" x14ac:dyDescent="0.25">
      <c r="A6" t="s">
        <v>86</v>
      </c>
      <c r="B6" t="s">
        <v>206</v>
      </c>
    </row>
    <row r="7" spans="1:2" x14ac:dyDescent="0.25">
      <c r="A7" t="s">
        <v>121</v>
      </c>
      <c r="B7" t="s">
        <v>207</v>
      </c>
    </row>
    <row r="8" spans="1:2" x14ac:dyDescent="0.25">
      <c r="A8" t="s">
        <v>14</v>
      </c>
      <c r="B8" t="s">
        <v>208</v>
      </c>
    </row>
    <row r="9" spans="1:2" x14ac:dyDescent="0.25">
      <c r="A9" t="s">
        <v>122</v>
      </c>
      <c r="B9" t="s">
        <v>206</v>
      </c>
    </row>
    <row r="10" spans="1:2" x14ac:dyDescent="0.25">
      <c r="A10" t="s">
        <v>123</v>
      </c>
      <c r="B10" t="s">
        <v>209</v>
      </c>
    </row>
    <row r="11" spans="1:2" x14ac:dyDescent="0.25">
      <c r="A11" t="s">
        <v>92</v>
      </c>
      <c r="B11" t="s">
        <v>201</v>
      </c>
    </row>
    <row r="12" spans="1:2" x14ac:dyDescent="0.25">
      <c r="A12" t="s">
        <v>120</v>
      </c>
      <c r="B12" t="s">
        <v>210</v>
      </c>
    </row>
    <row r="13" spans="1:2" x14ac:dyDescent="0.25">
      <c r="A13" s="23" t="s">
        <v>224</v>
      </c>
      <c r="B13" t="s">
        <v>211</v>
      </c>
    </row>
    <row r="14" spans="1:2" x14ac:dyDescent="0.25">
      <c r="A14" t="s">
        <v>80</v>
      </c>
      <c r="B14" t="s">
        <v>212</v>
      </c>
    </row>
    <row r="15" spans="1:2" x14ac:dyDescent="0.25">
      <c r="A15" t="s">
        <v>124</v>
      </c>
      <c r="B15" t="s">
        <v>201</v>
      </c>
    </row>
    <row r="16" spans="1:2" x14ac:dyDescent="0.25">
      <c r="A16" s="23" t="s">
        <v>188</v>
      </c>
      <c r="B16" s="23" t="s">
        <v>89</v>
      </c>
    </row>
  </sheetData>
  <phoneticPr fontId="18"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31"/>
  <sheetViews>
    <sheetView workbookViewId="0">
      <selection sqref="A1:P1"/>
    </sheetView>
  </sheetViews>
  <sheetFormatPr defaultRowHeight="13.2" x14ac:dyDescent="0.25"/>
  <cols>
    <col min="1" max="1" width="9.88671875" customWidth="1"/>
    <col min="2" max="2" width="22.109375" customWidth="1"/>
    <col min="3" max="3" width="12.5546875" customWidth="1"/>
    <col min="4" max="4" width="14.6640625" customWidth="1"/>
    <col min="5" max="5" width="16" customWidth="1"/>
    <col min="6" max="6" width="15" customWidth="1"/>
    <col min="7" max="18" width="14.6640625" customWidth="1"/>
  </cols>
  <sheetData>
    <row r="1" spans="1:18" x14ac:dyDescent="0.25">
      <c r="A1" s="252" t="s">
        <v>191</v>
      </c>
      <c r="B1" s="252"/>
      <c r="C1" s="252"/>
      <c r="D1" s="252"/>
      <c r="E1" s="252"/>
      <c r="F1" s="252"/>
      <c r="G1" s="252"/>
      <c r="H1" s="252"/>
      <c r="I1" s="252"/>
      <c r="J1" s="252"/>
      <c r="K1" s="252"/>
      <c r="L1" s="252"/>
      <c r="M1" s="252"/>
      <c r="N1" s="252"/>
      <c r="O1" s="252"/>
      <c r="P1" s="252"/>
    </row>
    <row r="2" spans="1:18" x14ac:dyDescent="0.25">
      <c r="A2" s="253"/>
      <c r="B2" s="253"/>
      <c r="C2" s="253"/>
      <c r="D2" s="253"/>
      <c r="E2" s="253"/>
      <c r="F2" s="253"/>
      <c r="G2" s="253"/>
      <c r="H2" s="253"/>
      <c r="I2" s="253"/>
      <c r="J2" s="253"/>
      <c r="K2" s="253"/>
      <c r="L2" s="253"/>
      <c r="M2" s="253"/>
      <c r="N2" s="253"/>
      <c r="O2" s="253"/>
      <c r="P2" s="253"/>
    </row>
    <row r="3" spans="1:18" x14ac:dyDescent="0.25">
      <c r="A3" s="252"/>
      <c r="B3" s="252"/>
      <c r="C3" s="252"/>
      <c r="D3" s="252"/>
      <c r="E3" s="252"/>
      <c r="F3" s="252"/>
      <c r="G3" s="252"/>
      <c r="H3" s="252"/>
      <c r="I3" s="252"/>
      <c r="J3" s="252"/>
      <c r="K3" s="252"/>
      <c r="L3" s="252"/>
      <c r="M3" s="252"/>
      <c r="N3" s="252"/>
      <c r="O3" s="252"/>
      <c r="P3" s="252"/>
    </row>
    <row r="4" spans="1:18" x14ac:dyDescent="0.25">
      <c r="A4" s="252" t="s">
        <v>195</v>
      </c>
      <c r="B4" s="252"/>
      <c r="C4" s="252"/>
      <c r="D4" s="252"/>
      <c r="E4" s="252"/>
      <c r="F4" s="252"/>
      <c r="G4" s="252"/>
      <c r="H4" s="252"/>
      <c r="I4" s="252"/>
      <c r="J4" s="252"/>
      <c r="K4" s="252"/>
      <c r="L4" s="252"/>
      <c r="M4" s="252"/>
      <c r="N4" s="252"/>
      <c r="O4" s="252"/>
      <c r="P4" s="252"/>
    </row>
    <row r="5" spans="1:18" x14ac:dyDescent="0.25">
      <c r="A5" s="252" t="s">
        <v>199</v>
      </c>
      <c r="B5" s="252"/>
      <c r="C5" s="252"/>
      <c r="D5" s="252"/>
      <c r="E5" s="252"/>
      <c r="F5" s="252"/>
      <c r="G5" s="252"/>
      <c r="H5" s="252"/>
      <c r="I5" s="252"/>
      <c r="J5" s="252"/>
      <c r="K5" s="252"/>
      <c r="L5" s="252"/>
      <c r="M5" s="252"/>
      <c r="N5" s="252"/>
      <c r="O5" s="252"/>
      <c r="P5" s="252"/>
    </row>
    <row r="7" spans="1:18" x14ac:dyDescent="0.25">
      <c r="A7" s="28" t="s">
        <v>163</v>
      </c>
      <c r="B7" s="28" t="s">
        <v>157</v>
      </c>
      <c r="C7" s="28" t="s">
        <v>164</v>
      </c>
      <c r="D7" s="28" t="s">
        <v>158</v>
      </c>
      <c r="E7" s="28" t="s">
        <v>160</v>
      </c>
      <c r="F7" s="28" t="s">
        <v>213</v>
      </c>
      <c r="G7" s="28" t="s">
        <v>161</v>
      </c>
      <c r="H7" s="28" t="s">
        <v>192</v>
      </c>
    </row>
    <row r="8" spans="1:18" ht="22.5" customHeight="1" x14ac:dyDescent="0.25"/>
    <row r="9" spans="1:18" s="57" customFormat="1" ht="20.100000000000001" customHeight="1" x14ac:dyDescent="0.25">
      <c r="A9" s="56" t="s">
        <v>171</v>
      </c>
      <c r="B9" s="64" t="s">
        <v>84</v>
      </c>
      <c r="C9" s="56" t="str">
        <f>IF(ISBLANK(B9),"",VLOOKUP(B9,TeamManualInfo!A1:B15,2,FALSE))</f>
        <v>Pp. 37, 74</v>
      </c>
      <c r="D9" s="57" t="str">
        <f>IF(ISBLANK(B10),"",INDEX(TeamInfo!F21:F47,MATCH(B9,TeamInfo!D21:D47,0),1))</f>
        <v>&lt;ALD1 Name&gt;</v>
      </c>
      <c r="E9" s="57" t="str">
        <f>IF(B9="Talk preview if needed",G9,IF(MATCH(B9,TeamInfo!$D$21:$D$48,0)&lt;15,G9,IF(ISBLANK(INDEX(TeamInfo!$F$36:$F$48,MATCH(B9,TeamInfo!$D$36:$D$48,0)+1,1)),INDEX(TeamInfo!$F$36:$F$48,MATCH(B9,TeamInfo!$D$36:$D$48,0)-1,1),INDEX(TeamInfo!$F$36:$F$48,MATCH(B9,TeamInfo!$D$36:$D$48,0)+1,1))))</f>
        <v>&lt;ALD3 Name&gt;</v>
      </c>
      <c r="F9" s="57" t="str">
        <f>+TeamInfo!F31</f>
        <v>&lt;BR Name&gt;</v>
      </c>
      <c r="G9" s="57" t="str">
        <f>+TeamInfo!F30</f>
        <v>&lt;ALD3 Name&gt;</v>
      </c>
      <c r="H9" s="57" t="str">
        <f>IF(TeamInfo!$F$28=D9,"",IF(TeamInfo!$F$28=E9,"",IF(TeamInfo!$F$28=D10,"",IF(TeamInfo!$F$28=E10,"",TeamInfo!$F$28))))</f>
        <v/>
      </c>
      <c r="I9" s="57" t="str">
        <f>IF(TeamInfo!$F$36=D9,"",IF(TeamInfo!$F$36=E9,"",IF(TeamInfo!$F$36=D10,"",IF(TeamInfo!$F$36=E10,"",TeamInfo!$F$36))))</f>
        <v>&lt;TL1 Name&gt;</v>
      </c>
      <c r="J9" s="57" t="str">
        <f>IF(TeamInfo!$F$38=D9,"",IF(TeamInfo!$F$38=E9,"",IF(TeamInfo!$F$38=D10,"",IF(TeamInfo!$F$38=E10,"",TeamInfo!$F$38))))</f>
        <v>&lt;TL2 Name&gt;</v>
      </c>
      <c r="K9" s="57" t="str">
        <f>IF(TeamInfo!$F$41=D9,"",IF(TeamInfo!$F$41=E9,"",IF(TeamInfo!$F$41=D10,"",IF(TeamInfo!$F$41=E10,"",TeamInfo!$F$41))))</f>
        <v>&lt;ATL3 Name&gt;</v>
      </c>
      <c r="L9" s="57" t="str">
        <f>IF(TeamInfo!$F$43=D9,"",IF(TeamInfo!$F$43=E9,"",IF(TeamInfo!$F$43=D10,"",IF(TeamInfo!$F$43=E10,"",TeamInfo!$F$43))))</f>
        <v>&lt;ATL4 Name&gt;</v>
      </c>
      <c r="M9" s="57" t="str">
        <f>IF(TeamInfo!$F$45=D9,"",IF(TeamInfo!$F$45=E9,"",IF(TeamInfo!$F$45=D10,"",IF(TeamInfo!$F$45=E10,"",TeamInfo!$F$45))))</f>
        <v>&lt;ATL5 Name&gt;</v>
      </c>
      <c r="N9" s="57" t="str">
        <f>IF(TeamInfo!$F$46=D9,"",IF(TeamInfo!$F$46=E9,"",IF(TeamInfo!$F$46=D10,"",IF(TeamInfo!$F$46=E10,"",TeamInfo!$F$46))))</f>
        <v>&lt;TL6 Name&gt;</v>
      </c>
      <c r="O9" s="57" t="str">
        <f>IF(TeamInfo!$F$31=D9,"",IF(TeamInfo!$F$31=E9,"",IF(TeamInfo!$F$31=D10,"",IF(TeamInfo!$F$31=E10,"",TeamInfo!$F$31))))</f>
        <v>&lt;BR Name&gt;</v>
      </c>
      <c r="P9" s="57" t="str">
        <f>IF(TeamInfo!$F$34=D9,"",IF(TeamInfo!$F$34=E9,"",IF(TeamInfo!$F$34=D10,"",IF(TeamInfo!$F$34=E10,"",TeamInfo!$F$34))))</f>
        <v>&lt;MD Name&gt;</v>
      </c>
      <c r="Q9" s="57" t="str">
        <f>IF(ISBLANK(TeamInfo!$F$22),"",TeamInfo!$F$22)</f>
        <v>&lt;SD2 Name&gt;</v>
      </c>
      <c r="R9" s="57" t="str">
        <f>IF(ISBLANK(TeamInfo!$F$33),"",TeamInfo!$F$33)</f>
        <v>&lt;TD2 Name&gt;</v>
      </c>
    </row>
    <row r="10" spans="1:18" s="57" customFormat="1" ht="20.100000000000001" customHeight="1" x14ac:dyDescent="0.25">
      <c r="A10" s="56" t="s">
        <v>172</v>
      </c>
      <c r="B10" s="64" t="s">
        <v>80</v>
      </c>
      <c r="C10" s="56" t="str">
        <f>IF(ISBLANK(B10),"",VLOOKUP(B10,TeamManualInfo!A1:B15,2,FALSE))</f>
        <v>Pp. 24-25, 71</v>
      </c>
      <c r="D10" s="57" t="str">
        <f>IF(ISBLANK(B10),"",VLOOKUP(B10,TeamInfo!D21:F47,3,FALSE))</f>
        <v>&lt;ALD2 Name&gt;</v>
      </c>
      <c r="E10" s="57" t="str">
        <f>IF(B10="Talk preview if needed",G10,IF(MATCH(B10,TeamInfo!$D$21:$D$48,0)&lt;15,G10,IF(ISBLANK(INDEX(TeamInfo!$F$36:$F$48,MATCH(B10,TeamInfo!$D$36:$D$48,0)+1,1)),INDEX(TeamInfo!$F$36:$F$48,MATCH(B10,TeamInfo!$D$36:$D$48,0)-1,1),INDEX(TeamInfo!$F$36:$F$48,MATCH(B10,TeamInfo!$D$36:$D$48,0)+1,1))))</f>
        <v>&lt;LD Name&gt;</v>
      </c>
      <c r="F10" s="57" t="str">
        <f>+TeamInfo!F31</f>
        <v>&lt;BR Name&gt;</v>
      </c>
      <c r="G10" s="57" t="str">
        <f>+TeamInfo!F27</f>
        <v>&lt;LD Name&gt;</v>
      </c>
      <c r="H10" s="57" t="str">
        <f>IF(TeamInfo!$F$29=D9,"",IF(TeamInfo!$F$29=E9,"",IF(TeamInfo!$F$29=D10,"",IF(TeamInfo!$F$29=E10,"",TeamInfo!$F$29))))</f>
        <v/>
      </c>
      <c r="I10" s="57" t="str">
        <f>IF(TeamInfo!$F$37=D9,"",IF(TeamInfo!$F$37=E9,"",IF(TeamInfo!$F$37=D10,"",IF(TeamInfo!$F$37=E10,"",TeamInfo!$F$37))))</f>
        <v>&lt;ATL1 Name&gt;</v>
      </c>
      <c r="J10" s="57" t="str">
        <f>IF(TeamInfo!$F$39=D9,"",IF(TeamInfo!$F$39=E9,"",IF(TeamInfo!$F$39=D10,"",IF(TeamInfo!$F$39=E10,"",TeamInfo!$F$39))))</f>
        <v>&lt;ATL2 Name&gt;</v>
      </c>
      <c r="K10" s="57" t="str">
        <f>IF(TeamInfo!$F$40=D9,"",IF(TeamInfo!$F$40=E9,"",IF(TeamInfo!$F$40=D10,"",IF(TeamInfo!$F$40=E10,"",TeamInfo!$F$40))))</f>
        <v>&lt;TL3 Name&gt;</v>
      </c>
      <c r="L10" s="57" t="str">
        <f>IF(TeamInfo!$F$42=D9,"",IF(TeamInfo!$F$42=E9,"",IF(TeamInfo!$F$42=D10,"",IF(TeamInfo!$F$42=E10,"",TeamInfo!$F$42))))</f>
        <v>&lt;TL4 Name&gt;</v>
      </c>
      <c r="M10" s="57" t="str">
        <f>IF(TeamInfo!$F$44=D9,"",IF(TeamInfo!$F$44=E9,"",IF(TeamInfo!$F$44=D10,"",IF(TeamInfo!$F$44=E10,"",TeamInfo!$F$44))))</f>
        <v>&lt;TL5 Name&gt;</v>
      </c>
      <c r="N10" s="57" t="str">
        <f>IF(TeamInfo!$F$47=D9,"",IF(TeamInfo!$F$47=E9,"",IF(TeamInfo!$F$47=D10,"",IF(TeamInfo!$F$47=E10,"",TeamInfo!$F$47))))</f>
        <v>&lt;TL7 Name&gt;</v>
      </c>
      <c r="O10" s="57" t="str">
        <f>IF(TeamInfo!$F$32=D9,"",IF(TeamInfo!$F$32=E9,"",IF(TeamInfo!$F$32=D10,"",IF(TeamInfo!$F$32=E10,"",TeamInfo!$F$32))))</f>
        <v>&lt;TD Name&gt;</v>
      </c>
      <c r="P10" s="57" t="str">
        <f>IF(TeamInfo!$F$21=D9,"",IF(TeamInfo!$F$21=E9,"",IF(TeamInfo!$F$21=D10,"",IF(TeamInfo!$F$21=E10,"",TeamInfo!$F$21))))</f>
        <v>&lt;SD Name&gt;</v>
      </c>
      <c r="Q10" s="57" t="str">
        <f>IF(ISBLANK(TeamInfo!$F$35),"",TeamInfo!$F$35)</f>
        <v>&lt;MD2 Name&gt;</v>
      </c>
    </row>
    <row r="11" spans="1:18" ht="22.5" customHeight="1" x14ac:dyDescent="0.25">
      <c r="A11" s="23"/>
      <c r="E11" s="57"/>
    </row>
    <row r="12" spans="1:18" s="57" customFormat="1" ht="20.100000000000001" customHeight="1" x14ac:dyDescent="0.25">
      <c r="A12" s="56" t="s">
        <v>173</v>
      </c>
      <c r="B12" s="64" t="s">
        <v>224</v>
      </c>
      <c r="C12" s="56" t="str">
        <f>IF(ISBLANK(B12),"",VLOOKUP(B12,TeamManualInfo!A1:B15,2,FALSE))</f>
        <v>Pp. 25, 71-72</v>
      </c>
      <c r="D12" s="57" t="str">
        <f>IF(ISBLANK(B12),"",VLOOKUP(B12,TeamInfo!D21:F47,3,FALSE))</f>
        <v>&lt;TL1 Name&gt;</v>
      </c>
      <c r="E12" s="57" t="str">
        <f>IF(B12="Talk preview if needed",G12,IF(MATCH(B12,TeamInfo!$D$21:$D$48,0)&lt;15,G12,IF(ISBLANK(INDEX(TeamInfo!$F$36:$F$48,MATCH(B12,TeamInfo!$D$36:$D$48,0)+1,1)),INDEX(TeamInfo!$F$36:$F$48,MATCH(B12,TeamInfo!$D$36:$D$48,0)-1,1),INDEX(TeamInfo!$F$36:$F$48,MATCH(B12,TeamInfo!$D$36:$D$48,0)+1,1))))</f>
        <v>&lt;ATL1 Name&gt;</v>
      </c>
      <c r="F12" s="57" t="str">
        <f>+TeamInfo!F28</f>
        <v>&lt;ALD1 Name&gt;</v>
      </c>
      <c r="G12" s="57" t="str">
        <f>+TeamInfo!F29</f>
        <v>&lt;ALD2 Name&gt;</v>
      </c>
      <c r="H12" s="57" t="str">
        <f>IF(TeamInfo!$F$28=D12,"",IF(TeamInfo!$F$28=E12,"",IF(TeamInfo!$F$28=D13,"",IF(TeamInfo!$F$28=E13,"",TeamInfo!$F$28))))</f>
        <v>&lt;ALD1 Name&gt;</v>
      </c>
      <c r="I12" s="57" t="str">
        <f>IF(TeamInfo!$F$36=D12,"",IF(TeamInfo!$F$36=E12,"",IF(TeamInfo!$F$36=D13,"",IF(TeamInfo!$F$36=E13,"",TeamInfo!$F$36))))</f>
        <v/>
      </c>
      <c r="J12" s="57" t="str">
        <f>IF(TeamInfo!$F$38=D12,"",IF(TeamInfo!$F$38=E12,"",IF(TeamInfo!$F$38=D13,"",IF(TeamInfo!$F$38=E13,"",TeamInfo!$F$38))))</f>
        <v/>
      </c>
      <c r="K12" s="57" t="str">
        <f>IF(TeamInfo!$F$40=D12,"",IF(TeamInfo!$F$40=E12,"",IF(TeamInfo!$F$40=D13,"",IF(TeamInfo!$F$40=E13,"",TeamInfo!$F$40))))</f>
        <v>&lt;TL3 Name&gt;</v>
      </c>
      <c r="L12" s="57" t="str">
        <f>IF(TeamInfo!$F$43=D12,"",IF(TeamInfo!$F$43=E12,"",IF(TeamInfo!$F$43=D13,"",IF(TeamInfo!$F$43=E13,"",TeamInfo!$F$43))))</f>
        <v>&lt;ATL4 Name&gt;</v>
      </c>
      <c r="M12" s="57" t="str">
        <f>IF(TeamInfo!$F$44=D12,"",IF(TeamInfo!$F$44=E12,"",IF(TeamInfo!$F$44=D13,"",IF(TeamInfo!$F$44=E13,"",TeamInfo!$F$44))))</f>
        <v>&lt;TL5 Name&gt;</v>
      </c>
      <c r="N12" s="57" t="str">
        <f>IF(TeamInfo!$F$46=D12,"",IF(TeamInfo!$F$46=E12,"",IF(TeamInfo!$F$46=D13,"",IF(TeamInfo!$F$46=E13,"",TeamInfo!$F$46))))</f>
        <v>&lt;TL6 Name&gt;</v>
      </c>
      <c r="O12" s="57" t="str">
        <f>IF(TeamInfo!$F$31=D12,"",IF(TeamInfo!$F$31=E12,"",IF(TeamInfo!$F$31=D13,"",IF(TeamInfo!$F$31=E13,"",TeamInfo!$F$31))))</f>
        <v>&lt;BR Name&gt;</v>
      </c>
      <c r="P12" s="57" t="str">
        <f>IF(TeamInfo!$F$34=D12,"",IF(TeamInfo!$F$34=E12,"",IF(TeamInfo!$F$34=D13,"",IF(TeamInfo!$F$34=E13,"",TeamInfo!$F$34))))</f>
        <v>&lt;MD Name&gt;</v>
      </c>
      <c r="Q12" s="57" t="str">
        <f>IF(ISBLANK(TeamInfo!$F$22),"",TeamInfo!$F$22)</f>
        <v>&lt;SD2 Name&gt;</v>
      </c>
      <c r="R12" s="57" t="str">
        <f>IF(ISBLANK(TeamInfo!$F$33),"",TeamInfo!$F$33)</f>
        <v>&lt;TD2 Name&gt;</v>
      </c>
    </row>
    <row r="13" spans="1:18" s="57" customFormat="1" ht="20.100000000000001" customHeight="1" x14ac:dyDescent="0.25">
      <c r="A13" s="56" t="s">
        <v>174</v>
      </c>
      <c r="B13" s="64" t="s">
        <v>14</v>
      </c>
      <c r="C13" s="56" t="str">
        <f>IF(ISBLANK(B13),"",VLOOKUP(B13,TeamManualInfo!A1:B15,2,FALSE))</f>
        <v>Pp. 26, 72</v>
      </c>
      <c r="D13" s="57" t="str">
        <f>IF(ISBLANK(B13),"",VLOOKUP(B13,TeamInfo!D21:F47,3,FALSE))</f>
        <v>&lt;TL2 Name&gt;</v>
      </c>
      <c r="E13" s="57" t="str">
        <f>IF(B13="Talk preview if needed",G13,IF(MATCH(B13,TeamInfo!$D$21:$D$48,0)&lt;15,G13,IF(ISBLANK(INDEX(TeamInfo!$F$36:$F$48,MATCH(B13,TeamInfo!$D$36:$D$48,0)+1,1)),INDEX(TeamInfo!$F$36:$F$48,MATCH(B13,TeamInfo!$D$36:$D$48,0)-1,1),INDEX(TeamInfo!$F$36:$F$48,MATCH(B13,TeamInfo!$D$36:$D$48,0)+1,1))))</f>
        <v>&lt;ATL2 Name&gt;</v>
      </c>
      <c r="F13" s="57" t="str">
        <f>+TeamInfo!F28</f>
        <v>&lt;ALD1 Name&gt;</v>
      </c>
      <c r="G13" s="57" t="str">
        <f>+TeamInfo!F30</f>
        <v>&lt;ALD3 Name&gt;</v>
      </c>
      <c r="H13" s="57" t="str">
        <f>IF(TeamInfo!$F$27=D12,"",IF(TeamInfo!$F$27=E12,"",IF(TeamInfo!$F$27=D13,"",IF(TeamInfo!$F$27=E13,"",TeamInfo!$F$27))))</f>
        <v>&lt;LD Name&gt;</v>
      </c>
      <c r="I13" s="57" t="str">
        <f>IF(TeamInfo!$F$37=D12,"",IF(TeamInfo!$F$37=E12,"",IF(TeamInfo!$F$37=D13,"",IF(TeamInfo!$F$37=E13,"",TeamInfo!$F$37))))</f>
        <v/>
      </c>
      <c r="J13" s="57" t="str">
        <f>IF(TeamInfo!$F$39=D12,"",IF(TeamInfo!$F$39=E12,"",IF(TeamInfo!$F$39=D13,"",IF(TeamInfo!$F$39=E13,"",TeamInfo!$F$39))))</f>
        <v/>
      </c>
      <c r="K13" s="57" t="str">
        <f>IF(TeamInfo!$F$41=D12,"",IF(TeamInfo!$F$41=E12,"",IF(TeamInfo!$F$41=D13,"",IF(TeamInfo!$F$41=E13,"",TeamInfo!$F$41))))</f>
        <v>&lt;ATL3 Name&gt;</v>
      </c>
      <c r="L13" s="57" t="str">
        <f>IF(TeamInfo!$F$42=D12,"",IF(TeamInfo!$F$42=E12,"",IF(TeamInfo!$F$42=D13,"",IF(TeamInfo!$F$42=E13,"",TeamInfo!$F$42))))</f>
        <v>&lt;TL4 Name&gt;</v>
      </c>
      <c r="M13" s="57" t="str">
        <f>IF(TeamInfo!$F$45=D12,"",IF(TeamInfo!$F$45=E12,"",IF(TeamInfo!$F$45=D13,"",IF(TeamInfo!$F$45=E13,"",TeamInfo!$F$45))))</f>
        <v>&lt;ATL5 Name&gt;</v>
      </c>
      <c r="N13" s="57" t="str">
        <f>IF(TeamInfo!$F$47=D12,"",IF(TeamInfo!$F$47=E12,"",IF(TeamInfo!$F$47=D13,"",IF(TeamInfo!$F$47=E13,"",TeamInfo!$F$47))))</f>
        <v>&lt;TL7 Name&gt;</v>
      </c>
      <c r="O13" s="57" t="str">
        <f>IF(TeamInfo!$F$32=D12,"",IF(TeamInfo!$F$32=E12,"",IF(TeamInfo!$F$32=D13,"",IF(TeamInfo!$F$32=E13,"",TeamInfo!$F$32))))</f>
        <v>&lt;TD Name&gt;</v>
      </c>
      <c r="P13" s="57" t="str">
        <f>IF(TeamInfo!$F$21=D12,"",IF(TeamInfo!$F$21=E12,"",IF(TeamInfo!$F$21=D13,"",IF(TeamInfo!$F$21=E13,"",TeamInfo!$F$21))))</f>
        <v>&lt;SD Name&gt;</v>
      </c>
      <c r="Q13" s="57" t="str">
        <f>IF(ISBLANK(TeamInfo!$F$35),"",TeamInfo!$F$35)</f>
        <v>&lt;MD2 Name&gt;</v>
      </c>
    </row>
    <row r="14" spans="1:18" ht="22.5" customHeight="1" x14ac:dyDescent="0.25">
      <c r="A14" s="23"/>
      <c r="C14" s="23"/>
      <c r="E14" s="57"/>
    </row>
    <row r="15" spans="1:18" s="57" customFormat="1" ht="20.100000000000001" customHeight="1" x14ac:dyDescent="0.25">
      <c r="A15" s="56" t="s">
        <v>175</v>
      </c>
      <c r="B15" s="64" t="s">
        <v>86</v>
      </c>
      <c r="C15" s="56" t="str">
        <f>IF(ISBLANK(B15),"",VLOOKUP(B15,TeamManualInfo!A1:B15,2,FALSE))</f>
        <v>Pp. 28, 72</v>
      </c>
      <c r="D15" s="57" t="str">
        <f>IF(ISBLANK(B15),"",VLOOKUP(B15,TeamInfo!D21:F47,3,FALSE))</f>
        <v>&lt;TL3 Name&gt;</v>
      </c>
      <c r="E15" s="57" t="str">
        <f>IF(B15="Talk preview if needed",G15,IF(MATCH(B15,TeamInfo!$D$21:$D$48,0)&lt;15,G15,IF(ISBLANK(INDEX(TeamInfo!$F$36:$F$48,MATCH(B15,TeamInfo!$D$36:$D$48,0)+1,1)),INDEX(TeamInfo!$F$36:$F$48,MATCH(B15,TeamInfo!$D$36:$D$48,0)-1,1),INDEX(TeamInfo!$F$36:$F$48,MATCH(B15,TeamInfo!$D$36:$D$48,0)+1,1))))</f>
        <v>&lt;ATL3 Name&gt;</v>
      </c>
      <c r="F15" s="57" t="str">
        <f>+TeamInfo!F29</f>
        <v>&lt;ALD2 Name&gt;</v>
      </c>
      <c r="G15" s="57" t="str">
        <f>+TeamInfo!F28</f>
        <v>&lt;ALD1 Name&gt;</v>
      </c>
      <c r="H15" s="57" t="str">
        <f>IF(TeamInfo!$F$29=D15,"",IF(TeamInfo!$F$29=E15,"",IF(TeamInfo!$F$29=D16,"",IF(TeamInfo!$F$29=E16,"",TeamInfo!$F$29))))</f>
        <v>&lt;ALD2 Name&gt;</v>
      </c>
      <c r="I15" s="57" t="str">
        <f>IF(TeamInfo!$F$36=D15,"",IF(TeamInfo!$F$36=E15,"",IF(TeamInfo!$F$36=D16,"",IF(TeamInfo!$F$36=E16,"",TeamInfo!$F$36))))</f>
        <v>&lt;TL1 Name&gt;</v>
      </c>
      <c r="J15" s="57" t="str">
        <f>IF(TeamInfo!$F$39=D15,"",IF(TeamInfo!$F$39=E15,"",IF(TeamInfo!$F$39=D16,"",IF(TeamInfo!$F$39=E16,"",TeamInfo!$F$39))))</f>
        <v>&lt;ATL2 Name&gt;</v>
      </c>
      <c r="K15" s="57" t="str">
        <f>IF(TeamInfo!$F$40=D15,"",IF(TeamInfo!$F$40=E15,"",IF(TeamInfo!$F$40=D16,"",IF(TeamInfo!$F$40=E16,"",TeamInfo!$F$40))))</f>
        <v/>
      </c>
      <c r="L15" s="57" t="str">
        <f>IF(TeamInfo!$F$43=D15,"",IF(TeamInfo!$F$43=E15,"",IF(TeamInfo!$F$43=D16,"",IF(TeamInfo!$F$43=E16,"",TeamInfo!$F$43))))</f>
        <v/>
      </c>
      <c r="M15" s="57" t="str">
        <f>IF(TeamInfo!$F$45=D15,"",IF(TeamInfo!$F$45=E15,"",IF(TeamInfo!$F$45=D16,"",IF(TeamInfo!$F$45=E16,"",TeamInfo!$F$45))))</f>
        <v>&lt;ATL5 Name&gt;</v>
      </c>
      <c r="N15" s="57" t="str">
        <f>IF(TeamInfo!$F$47=D15,"",IF(TeamInfo!$F$47=E15,"",IF(TeamInfo!$F$47=D16,"",IF(TeamInfo!$F$47=E16,"",TeamInfo!$F$47))))</f>
        <v>&lt;TL7 Name&gt;</v>
      </c>
      <c r="O15" s="57" t="str">
        <f>IF(TeamInfo!$F$31=D15,"",IF(TeamInfo!$F$31=E15,"",IF(TeamInfo!$F$31=D16,"",IF(TeamInfo!$F$31=E16,"",TeamInfo!$F$31))))</f>
        <v>&lt;BR Name&gt;</v>
      </c>
      <c r="P15" s="57" t="str">
        <f>IF(TeamInfo!$F$34=D15,"",IF(TeamInfo!$F$34=E15,"",IF(TeamInfo!$F$34=D16,"",IF(TeamInfo!$F$34=E16,"",TeamInfo!$F$34))))</f>
        <v>&lt;MD Name&gt;</v>
      </c>
      <c r="Q15" s="57" t="str">
        <f>IF(ISBLANK(TeamInfo!$F$22),"",TeamInfo!$F$22)</f>
        <v>&lt;SD2 Name&gt;</v>
      </c>
      <c r="R15" s="57" t="str">
        <f>IF(ISBLANK(TeamInfo!$F$33),"",TeamInfo!$F$33)</f>
        <v>&lt;TD2 Name&gt;</v>
      </c>
    </row>
    <row r="16" spans="1:18" s="57" customFormat="1" ht="20.100000000000001" customHeight="1" x14ac:dyDescent="0.25">
      <c r="A16" s="56" t="s">
        <v>176</v>
      </c>
      <c r="B16" s="64" t="s">
        <v>15</v>
      </c>
      <c r="C16" s="56" t="str">
        <f>IF(ISBLANK(B16),"",VLOOKUP(B16,TeamManualInfo!A1:B15,2,FALSE))</f>
        <v>Pp. 28, 73</v>
      </c>
      <c r="D16" s="57" t="str">
        <f>IF(ISBLANK(B16),"",VLOOKUP(B16,TeamInfo!D21:F47,3,FALSE))</f>
        <v>&lt;TL4 Name&gt;</v>
      </c>
      <c r="E16" s="57" t="str">
        <f>IF(B16="Talk preview if needed",G16,IF(MATCH(B16,TeamInfo!$D$21:$D$48,0)&lt;15,G16,IF(ISBLANK(INDEX(TeamInfo!$F$36:$F$48,MATCH(B16,TeamInfo!$D$36:$D$48,0)+1,1)),INDEX(TeamInfo!$F$36:$F$48,MATCH(B16,TeamInfo!$D$36:$D$48,0)-1,1),INDEX(TeamInfo!$F$36:$F$48,MATCH(B16,TeamInfo!$D$36:$D$48,0)+1,1))))</f>
        <v>&lt;ATL4 Name&gt;</v>
      </c>
      <c r="F16" s="57" t="str">
        <f>+TeamInfo!F29</f>
        <v>&lt;ALD2 Name&gt;</v>
      </c>
      <c r="G16" s="57" t="str">
        <f>+TeamInfo!F30</f>
        <v>&lt;ALD3 Name&gt;</v>
      </c>
      <c r="H16" s="57" t="str">
        <f>IF(TeamInfo!$F$27=D15,"",IF(TeamInfo!$F$27=E15,"",IF(TeamInfo!$F$27=D16,"",IF(TeamInfo!$F$27=E16,"",TeamInfo!$F$27))))</f>
        <v>&lt;LD Name&gt;</v>
      </c>
      <c r="I16" s="57" t="str">
        <f>IF(TeamInfo!$F$37=D15,"",IF(TeamInfo!$F$37=E15,"",IF(TeamInfo!$F$37=D16,"",IF(TeamInfo!$F$37=E16,"",TeamInfo!$F$37))))</f>
        <v>&lt;ATL1 Name&gt;</v>
      </c>
      <c r="J16" s="57" t="str">
        <f>IF(TeamInfo!$F$38=D15,"",IF(TeamInfo!$F$38=E15,"",IF(TeamInfo!$F$38=D16,"",IF(TeamInfo!$F$38=E16,"",TeamInfo!$F$38))))</f>
        <v>&lt;TL2 Name&gt;</v>
      </c>
      <c r="K16" s="57" t="str">
        <f>IF(TeamInfo!$F$41=D15,"",IF(TeamInfo!$F$41=E15,"",IF(TeamInfo!$F$41=D16,"",IF(TeamInfo!$F$41=E16,"",TeamInfo!$F$41))))</f>
        <v/>
      </c>
      <c r="L16" s="57" t="str">
        <f>IF(TeamInfo!$F$42=D15,"",IF(TeamInfo!$F$42=E15,"",IF(TeamInfo!$F$42=D16,"",IF(TeamInfo!$F$42=E16,"",TeamInfo!$F$42))))</f>
        <v/>
      </c>
      <c r="M16" s="57" t="str">
        <f>IF(TeamInfo!$F$44=D15,"",IF(TeamInfo!$F$44=E15,"",IF(TeamInfo!$F$44=D16,"",IF(TeamInfo!$F$44=E16,"",TeamInfo!$F$44))))</f>
        <v>&lt;TL5 Name&gt;</v>
      </c>
      <c r="N16" s="57" t="str">
        <f>IF(TeamInfo!$F$46=D15,"",IF(TeamInfo!$F$46=E15,"",IF(TeamInfo!$F$46=D16,"",IF(TeamInfo!$F$46=E16,"",TeamInfo!$F$46))))</f>
        <v>&lt;TL6 Name&gt;</v>
      </c>
      <c r="O16" s="57" t="str">
        <f>IF(TeamInfo!$F$32=D15,"",IF(TeamInfo!$F$32=E15,"",IF(TeamInfo!$F$32=D16,"",IF(TeamInfo!$F$32=E16,"",TeamInfo!$F$32))))</f>
        <v>&lt;TD Name&gt;</v>
      </c>
      <c r="P16" s="57" t="str">
        <f>IF(TeamInfo!$F$21=D15,"",IF(TeamInfo!$F$21=E15,"",IF(TeamInfo!$F$21=D16,"",IF(TeamInfo!$F$21=E16,"",TeamInfo!$F$21))))</f>
        <v>&lt;SD Name&gt;</v>
      </c>
      <c r="Q16" s="57" t="str">
        <f>IF(ISBLANK(TeamInfo!$F$35),"",TeamInfo!$F$35)</f>
        <v>&lt;MD2 Name&gt;</v>
      </c>
    </row>
    <row r="17" spans="1:18" ht="22.5" customHeight="1" x14ac:dyDescent="0.25">
      <c r="A17" s="23"/>
      <c r="C17" s="23"/>
      <c r="E17" s="57"/>
    </row>
    <row r="18" spans="1:18" s="57" customFormat="1" ht="20.100000000000001" customHeight="1" x14ac:dyDescent="0.25">
      <c r="A18" s="56" t="s">
        <v>177</v>
      </c>
      <c r="B18" s="64" t="s">
        <v>16</v>
      </c>
      <c r="C18" s="56" t="str">
        <f>IF(ISBLANK(B18),"",VLOOKUP(B18,TeamManualInfo!A1:B15,2,FALSE))</f>
        <v>Pp. 29, 73</v>
      </c>
      <c r="D18" s="57" t="str">
        <f>IF(ISBLANK(B18),"",VLOOKUP(B18,TeamInfo!D21:F47,3,FALSE))</f>
        <v>&lt;TL5 Name&gt;</v>
      </c>
      <c r="E18" s="57" t="str">
        <f>IF(B18="Talk preview if needed",G18,IF(MATCH(B18,TeamInfo!$D$21:$D$48,0)&lt;15,G18,IF(ISBLANK(INDEX(TeamInfo!$F$36:$F$48,MATCH(B18,TeamInfo!$D$36:$D$48,0)+1,1)),INDEX(TeamInfo!$F$36:$F$48,MATCH(B18,TeamInfo!$D$36:$D$48,0)-1,1),INDEX(TeamInfo!$F$36:$F$48,MATCH(B18,TeamInfo!$D$36:$D$48,0)+1,1))))</f>
        <v>&lt;ATL5 Name&gt;</v>
      </c>
      <c r="F18" s="57" t="str">
        <f>+TeamInfo!F30</f>
        <v>&lt;ALD3 Name&gt;</v>
      </c>
      <c r="G18" s="57" t="str">
        <f>+TeamInfo!F28</f>
        <v>&lt;ALD1 Name&gt;</v>
      </c>
      <c r="H18" s="57" t="str">
        <f>IF(TeamInfo!$F$30=D18,"",IF(TeamInfo!$F$30=E18,"",IF(TeamInfo!$F$30=D19,"",IF(TeamInfo!$F$30=E19,"",TeamInfo!$F$30))))</f>
        <v>&lt;ALD3 Name&gt;</v>
      </c>
      <c r="I18" s="57" t="str">
        <f>IF(TeamInfo!$F$37=D18,"",IF(TeamInfo!$F$37=E18,"",IF(TeamInfo!$F$37=D19,"",IF(TeamInfo!$F$37=E19,"",TeamInfo!$F$37))))</f>
        <v>&lt;ATL1 Name&gt;</v>
      </c>
      <c r="J18" s="57" t="str">
        <f>IF(TeamInfo!$F$39=D18,"",IF(TeamInfo!$F$39=E18,"",IF(TeamInfo!$F$39=D19,"",IF(TeamInfo!$F$39=E19,"",TeamInfo!$F$39))))</f>
        <v>&lt;ATL2 Name&gt;</v>
      </c>
      <c r="K18" s="57" t="str">
        <f>IF(TeamInfo!$F$40=D18,"",IF(TeamInfo!$F$40=E18,"",IF(TeamInfo!$F$40=D19,"",IF(TeamInfo!$F$40=E19,"",TeamInfo!$F$40))))</f>
        <v>&lt;TL3 Name&gt;</v>
      </c>
      <c r="L18" s="57" t="str">
        <f>IF(TeamInfo!$F$42=D18,"",IF(TeamInfo!$F$42=E18,"",IF(TeamInfo!$F$42=D19,"",IF(TeamInfo!$F$42=E19,"",TeamInfo!$F$42))))</f>
        <v>&lt;TL4 Name&gt;</v>
      </c>
      <c r="M18" s="57" t="str">
        <f>IF(TeamInfo!$F$45=D18,"",IF(TeamInfo!$F$45=E18,"",IF(TeamInfo!$F$45=D19,"",IF(TeamInfo!$F$45=E19,"",TeamInfo!$F$45))))</f>
        <v/>
      </c>
      <c r="N18" s="57" t="str">
        <f>IF(TeamInfo!$F$47=D18,"",IF(TeamInfo!$F$47=E18,"",IF(TeamInfo!$F$47=D19,"",IF(TeamInfo!$F$47=E19,"",TeamInfo!$F$47))))</f>
        <v/>
      </c>
      <c r="O18" s="57" t="str">
        <f>IF(TeamInfo!$F$32=D18,"",IF(TeamInfo!$F$32=E18,"",IF(TeamInfo!$F$32=D19,"",IF(TeamInfo!$F$32=E19,"",TeamInfo!$F$32))))</f>
        <v>&lt;TD Name&gt;</v>
      </c>
      <c r="P18" s="57" t="str">
        <f>IF(TeamInfo!$F$21=D18,"",IF(TeamInfo!$F$21=E18,"",IF(TeamInfo!$F$21=D19,"",IF(TeamInfo!$F$21=E19,"",TeamInfo!$F$21))))</f>
        <v>&lt;SD Name&gt;</v>
      </c>
      <c r="Q18" s="57" t="str">
        <f>IF(ISBLANK(TeamInfo!$F$35),"",TeamInfo!$F$35)</f>
        <v>&lt;MD2 Name&gt;</v>
      </c>
    </row>
    <row r="19" spans="1:18" s="57" customFormat="1" ht="20.100000000000001" customHeight="1" x14ac:dyDescent="0.25">
      <c r="A19" s="56" t="s">
        <v>178</v>
      </c>
      <c r="B19" s="64" t="s">
        <v>17</v>
      </c>
      <c r="C19" s="56" t="str">
        <f>IF(ISBLANK(B19),"",VLOOKUP(B19,TeamManualInfo!A1:B15,2,FALSE))</f>
        <v>Pp. 36, 73</v>
      </c>
      <c r="D19" s="57" t="str">
        <f>IF(ISBLANK(B19),"",VLOOKUP(B19,TeamInfo!D21:F47,3,FALSE))</f>
        <v>&lt;TL6 Name&gt;</v>
      </c>
      <c r="E19" s="57" t="str">
        <f>IF(B19="Talk preview if needed",G19,IF(MATCH(B19,TeamInfo!$D$21:$D$48,0)&lt;15,G19,IF(ISBLANK(INDEX(TeamInfo!$F$36:$F$48,MATCH(B19,TeamInfo!$D$36:$D$48,0)+1,1)),INDEX(TeamInfo!$F$36:$F$48,MATCH(B19,TeamInfo!$D$36:$D$48,0)-1,1),INDEX(TeamInfo!$F$36:$F$48,MATCH(B19,TeamInfo!$D$36:$D$48,0)+1,1))))</f>
        <v>&lt;TL7 Name&gt;</v>
      </c>
      <c r="F19" s="57" t="str">
        <f>+TeamInfo!F30</f>
        <v>&lt;ALD3 Name&gt;</v>
      </c>
      <c r="G19" s="57" t="str">
        <f>+TeamInfo!F29</f>
        <v>&lt;ALD2 Name&gt;</v>
      </c>
      <c r="H19" s="57" t="str">
        <f>IF(TeamInfo!$F$27=D18,"",IF(TeamInfo!$F$27=E18,"",IF(TeamInfo!$F$27=D19,"",IF(TeamInfo!$F$27=E19,"",TeamInfo!$F$27))))</f>
        <v>&lt;LD Name&gt;</v>
      </c>
      <c r="I19" s="57" t="str">
        <f>IF(TeamInfo!$F$36=D18,"",IF(TeamInfo!$F$36=E18,"",IF(TeamInfo!$F$36=D19,"",IF(TeamInfo!$F$36=E19,"",TeamInfo!$F$36))))</f>
        <v>&lt;TL1 Name&gt;</v>
      </c>
      <c r="J19" s="57" t="str">
        <f>IF(TeamInfo!$F$38=D18,"",IF(TeamInfo!$F$38=E18,"",IF(TeamInfo!$F$38=D19,"",IF(TeamInfo!$F$38=E19,"",TeamInfo!$F$38))))</f>
        <v>&lt;TL2 Name&gt;</v>
      </c>
      <c r="K19" s="57" t="str">
        <f>IF(TeamInfo!$F$41=D18,"",IF(TeamInfo!$F$41=E18,"",IF(TeamInfo!$F$41=D19,"",IF(TeamInfo!$F$41=E19,"",TeamInfo!$F$41))))</f>
        <v>&lt;ATL3 Name&gt;</v>
      </c>
      <c r="L19" s="57" t="str">
        <f>IF(TeamInfo!$F$43=D18,"",IF(TeamInfo!$F$43=E18,"",IF(TeamInfo!$F$43=D19,"",IF(TeamInfo!$F$43=E19,"",TeamInfo!$F$43))))</f>
        <v>&lt;ATL4 Name&gt;</v>
      </c>
      <c r="M19" s="57" t="str">
        <f>IF(TeamInfo!$F$44=D18,"",IF(TeamInfo!$F$44=E18,"",IF(TeamInfo!$F$44=D19,"",IF(TeamInfo!$F$44=E19,"",TeamInfo!$F$44))))</f>
        <v/>
      </c>
      <c r="N19" s="57" t="str">
        <f>IF(TeamInfo!$F$46=D18,"",IF(TeamInfo!$F$46=E18,"",IF(TeamInfo!$F$46=D19,"",IF(TeamInfo!$F$46=E19,"",TeamInfo!$F$46))))</f>
        <v/>
      </c>
      <c r="O19" s="57" t="str">
        <f>IF(TeamInfo!$F$31=D18,"",IF(TeamInfo!$F$31=E18,"",IF(TeamInfo!$F$31=D19,"",IF(TeamInfo!$F$31=E19,"",TeamInfo!$F$31))))</f>
        <v>&lt;BR Name&gt;</v>
      </c>
      <c r="P19" s="57" t="str">
        <f>IF(TeamInfo!$F$34=D18,"",IF(TeamInfo!$F$34=E18,"",IF(TeamInfo!$F$34=D19,"",IF(TeamInfo!$F$34=E19,"",TeamInfo!$F$34))))</f>
        <v>&lt;MD Name&gt;</v>
      </c>
      <c r="Q19" s="57" t="str">
        <f>IF(ISBLANK(TeamInfo!$F$22),"",TeamInfo!$F$22)</f>
        <v>&lt;SD2 Name&gt;</v>
      </c>
      <c r="R19" s="57" t="str">
        <f>IF(ISBLANK(TeamInfo!$F$33),"",TeamInfo!$F$33)</f>
        <v>&lt;TD2 Name&gt;</v>
      </c>
    </row>
    <row r="20" spans="1:18" ht="22.5" customHeight="1" x14ac:dyDescent="0.25">
      <c r="A20" s="23"/>
      <c r="C20" s="23"/>
      <c r="E20" s="57"/>
    </row>
    <row r="21" spans="1:18" s="57" customFormat="1" ht="20.100000000000001" customHeight="1" x14ac:dyDescent="0.25">
      <c r="A21" s="56" t="s">
        <v>179</v>
      </c>
      <c r="B21" s="64" t="s">
        <v>18</v>
      </c>
      <c r="C21" s="56" t="str">
        <f>IF(ISBLANK(B21),"",VLOOKUP(B21,TeamManualInfo!A1:B15,2,FALSE))</f>
        <v>Pp. 36, 74</v>
      </c>
      <c r="D21" s="57" t="str">
        <f>IF(ISBLANK(B21),"",VLOOKUP(B21,TeamInfo!D21:F47,3,FALSE))</f>
        <v>&lt;TL7 Name&gt;</v>
      </c>
      <c r="E21" s="57" t="str">
        <f>IF(B21="Talk preview if needed",G21,IF(MATCH(B21,TeamInfo!$D$21:$D$48,0)&lt;15,G21,IF(ISBLANK(INDEX(TeamInfo!$F$36:$F$48,MATCH(B21,TeamInfo!$D$36:$D$48,0)+1,1)),INDEX(TeamInfo!$F$36:$F$48,MATCH(B21,TeamInfo!$D$36:$D$48,0)-1,1),INDEX(TeamInfo!$F$36:$F$48,MATCH(B21,TeamInfo!$D$36:$D$48,0)+1,1))))</f>
        <v>&lt;TL6 Name&gt;</v>
      </c>
      <c r="F21" s="57" t="str">
        <f>+TeamInfo!F29</f>
        <v>&lt;ALD2 Name&gt;</v>
      </c>
      <c r="G21" s="57" t="str">
        <f>+TeamInfo!F30</f>
        <v>&lt;ALD3 Name&gt;</v>
      </c>
      <c r="H21" s="57" t="str">
        <f>IF(TeamInfo!$F$29=D21,"",IF(TeamInfo!$F$29=E21,"",IF(TeamInfo!$F$29=D22,"",IF(TeamInfo!$F$29=E22,"",TeamInfo!$F$29))))</f>
        <v>&lt;ALD2 Name&gt;</v>
      </c>
      <c r="I21" s="57" t="str">
        <f>IF(TeamInfo!$F$36=D21,"",IF(TeamInfo!$F$36=E21,"",IF(TeamInfo!$F$36=D22,"",IF(TeamInfo!$F$36=E22,"",TeamInfo!$F$36))))</f>
        <v>&lt;TL1 Name&gt;</v>
      </c>
      <c r="J21" s="57" t="str">
        <f>IF(TeamInfo!$F$38=D21,"",IF(TeamInfo!$F$38=E21,"",IF(TeamInfo!$F$38=D22,"",IF(TeamInfo!$F$38=E22,"",TeamInfo!$F$38))))</f>
        <v>&lt;TL2 Name&gt;</v>
      </c>
      <c r="K21" s="57" t="str">
        <f>IF(TeamInfo!$F$41=D21,"",IF(TeamInfo!$F$41=E21,"",IF(TeamInfo!$F$41=D22,"",IF(TeamInfo!$F$41=E22,"",TeamInfo!$F$41))))</f>
        <v>&lt;ATL3 Name&gt;</v>
      </c>
      <c r="L21" s="57" t="str">
        <f>IF(TeamInfo!$F$43=D21,"",IF(TeamInfo!$F$43=E21,"",IF(TeamInfo!$F$43=D22,"",IF(TeamInfo!$F$43=E22,"",TeamInfo!$F$43))))</f>
        <v>&lt;ATL4 Name&gt;</v>
      </c>
      <c r="M21" s="57" t="str">
        <f>IF(TeamInfo!$F$44=D21,"",IF(TeamInfo!$F$44=E21,"",IF(TeamInfo!$F$44=D22,"",IF(TeamInfo!$F$44=E22,"",TeamInfo!$F$44))))</f>
        <v>&lt;TL5 Name&gt;</v>
      </c>
      <c r="N21" s="57" t="str">
        <f>IF(TeamInfo!$F$46=D21,"",IF(TeamInfo!$F$46=E21,"",IF(TeamInfo!$F$46=D22,"",IF(TeamInfo!$F$46=E22,"",TeamInfo!$F$46))))</f>
        <v/>
      </c>
      <c r="O21" s="57" t="str">
        <f>IF(TeamInfo!$F$31=D21,"",IF(TeamInfo!$F$31=E21,"",IF(TeamInfo!$F$31=D22,"",IF(TeamInfo!$F$31=E22,"",TeamInfo!$F$31))))</f>
        <v>&lt;BR Name&gt;</v>
      </c>
      <c r="P21" s="57" t="str">
        <f>IF(TeamInfo!$F$34=D21,"",IF(TeamInfo!$F$34=E21,"",IF(TeamInfo!$F$34=D22,"",IF(TeamInfo!$F$34=E22,"",TeamInfo!$F$34))))</f>
        <v>&lt;MD Name&gt;</v>
      </c>
      <c r="Q21" s="57" t="str">
        <f>IF(ISBLANK(TeamInfo!$F$22),"",TeamInfo!$F$22)</f>
        <v>&lt;SD2 Name&gt;</v>
      </c>
      <c r="R21" s="57" t="str">
        <f>IF(ISBLANK(TeamInfo!$F$33),"",TeamInfo!$F$33)</f>
        <v>&lt;TD2 Name&gt;</v>
      </c>
    </row>
    <row r="22" spans="1:18" s="57" customFormat="1" ht="20.100000000000001" customHeight="1" x14ac:dyDescent="0.25">
      <c r="A22" s="56" t="s">
        <v>180</v>
      </c>
      <c r="B22" s="64" t="s">
        <v>92</v>
      </c>
      <c r="C22" s="56" t="str">
        <f>IF(ISBLANK(B22),"",VLOOKUP(B22,TeamManualInfo!A1:B15,2,FALSE))</f>
        <v>Pp. 36, 74</v>
      </c>
      <c r="D22" s="57" t="str">
        <f>IF(ISBLANK(B22),"",VLOOKUP(B22,TeamInfo!D21:F47,3,FALSE))</f>
        <v>&lt;LD Name&gt;</v>
      </c>
      <c r="E22" s="57" t="str">
        <f>IF(B22="Talk preview if needed",G22,IF(MATCH(B22,TeamInfo!$D$21:$D$48,0)&lt;15,G22,IF(ISBLANK(INDEX(TeamInfo!$F$36:$F$48,MATCH(B22,TeamInfo!$D$36:$D$48,0)+1,1)),INDEX(TeamInfo!$F$36:$F$48,MATCH(B22,TeamInfo!$D$36:$D$48,0)-1,1),INDEX(TeamInfo!$F$36:$F$48,MATCH(B22,TeamInfo!$D$36:$D$48,0)+1,1))))</f>
        <v>&lt;ALD1 Name&gt;</v>
      </c>
      <c r="F22" s="57" t="str">
        <f>+TeamInfo!F29</f>
        <v>&lt;ALD2 Name&gt;</v>
      </c>
      <c r="G22" s="57" t="str">
        <f>+TeamInfo!F28</f>
        <v>&lt;ALD1 Name&gt;</v>
      </c>
      <c r="H22" s="57" t="str">
        <f>IF(TeamInfo!$F$27=D21,"",IF(TeamInfo!$F$27=E21,"",IF(TeamInfo!$F$27=D22,"",IF(TeamInfo!$F$27=E22,"",TeamInfo!$F$27))))</f>
        <v/>
      </c>
      <c r="I22" s="57" t="str">
        <f>IF(TeamInfo!$F$37=D21,"",IF(TeamInfo!$F$37=E21,"",IF(TeamInfo!$F$37=D22,"",IF(TeamInfo!$F$37=E22,"",TeamInfo!$F$37))))</f>
        <v>&lt;ATL1 Name&gt;</v>
      </c>
      <c r="J22" s="57" t="str">
        <f>IF(TeamInfo!$F$39=D21,"",IF(TeamInfo!$F$39=E21,"",IF(TeamInfo!$F$39=D22,"",IF(TeamInfo!$F$39=E22,"",TeamInfo!$F$39))))</f>
        <v>&lt;ATL2 Name&gt;</v>
      </c>
      <c r="K22" s="57" t="str">
        <f>IF(TeamInfo!$F$40=D21,"",IF(TeamInfo!$F$40=E21,"",IF(TeamInfo!$F$40=D22,"",IF(TeamInfo!$F$40=E22,"",TeamInfo!$F$40))))</f>
        <v>&lt;TL3 Name&gt;</v>
      </c>
      <c r="L22" s="57" t="str">
        <f>IF(TeamInfo!$F$42=D21,"",IF(TeamInfo!$F$42=E21,"",IF(TeamInfo!$F$42=D22,"",IF(TeamInfo!$F$42=E22,"",TeamInfo!$F$42))))</f>
        <v>&lt;TL4 Name&gt;</v>
      </c>
      <c r="M22" s="57" t="str">
        <f>IF(TeamInfo!$F$45=D21,"",IF(TeamInfo!$F$45=E21,"",IF(TeamInfo!$F$45=D22,"",IF(TeamInfo!$F$45=E22,"",TeamInfo!$F$45))))</f>
        <v>&lt;ATL5 Name&gt;</v>
      </c>
      <c r="N22" s="57" t="str">
        <f>IF(TeamInfo!$F$47=D21,"",IF(TeamInfo!$F$47=E21,"",IF(TeamInfo!$F$47=D22,"",IF(TeamInfo!$F$47=E22,"",TeamInfo!$F$47))))</f>
        <v/>
      </c>
      <c r="O22" s="57" t="str">
        <f>IF(TeamInfo!$F$32=D21,"",IF(TeamInfo!$F$32=E21,"",IF(TeamInfo!$F$32=D22,"",IF(TeamInfo!$F$32=E22,"",TeamInfo!$F$32))))</f>
        <v>&lt;TD Name&gt;</v>
      </c>
      <c r="P22" s="57" t="str">
        <f>IF(TeamInfo!$F$21=D21,"",IF(TeamInfo!$F$21=E21,"",IF(TeamInfo!$F$21=D22,"",IF(TeamInfo!$F$21=E22,"",TeamInfo!$F$21))))</f>
        <v>&lt;SD Name&gt;</v>
      </c>
      <c r="Q22" s="57" t="str">
        <f>IF(ISBLANK(TeamInfo!$F$35),"",TeamInfo!$F$35)</f>
        <v>&lt;MD2 Name&gt;</v>
      </c>
    </row>
    <row r="23" spans="1:18" ht="22.5" customHeight="1" x14ac:dyDescent="0.25">
      <c r="E23" s="57"/>
    </row>
    <row r="24" spans="1:18" s="57" customFormat="1" ht="20.100000000000001" customHeight="1" x14ac:dyDescent="0.25">
      <c r="A24" s="56" t="s">
        <v>181</v>
      </c>
      <c r="B24" s="64" t="s">
        <v>188</v>
      </c>
      <c r="C24" s="57" t="str">
        <f>IF(ISBLANK(B24),"",VLOOKUP(B24,TeamManualInfo!A1:B16,2,FALSE))</f>
        <v>TBD</v>
      </c>
      <c r="D24" s="56"/>
      <c r="E24" s="57" t="str">
        <f>IF(B24="Talk preview if needed",G24,IF(MATCH(B24,TeamInfo!$D$21:$D$48,0)&lt;15,G24,IF(ISBLANK(INDEX(TeamInfo!$F$36:$F$48,MATCH(B24,TeamInfo!$D$36:$D$48,0)+1,1)),INDEX(TeamInfo!$F$36:$F$48,MATCH(B24,TeamInfo!$D$36:$D$48,0)-1,1),INDEX(TeamInfo!$F$36:$F$48,MATCH(B24,TeamInfo!$D$36:$D$48,0)+1,1))))</f>
        <v>&lt;ALD2 Name&gt;</v>
      </c>
      <c r="F24" s="57" t="str">
        <f>+TeamInfo!F27</f>
        <v>&lt;LD Name&gt;</v>
      </c>
      <c r="G24" s="57" t="str">
        <f>+TeamInfo!F29</f>
        <v>&lt;ALD2 Name&gt;</v>
      </c>
      <c r="H24" s="57" t="str">
        <f>IF(TeamInfo!$F$28=D24,"",IF(TeamInfo!$F$28=E24,"",IF(TeamInfo!$F$28=D25,"",IF(TeamInfo!$F$28=E25,"",TeamInfo!$F$28))))</f>
        <v>&lt;ALD1 Name&gt;</v>
      </c>
      <c r="I24" s="57" t="str">
        <f>IF(TeamInfo!$F$36=D24,"",IF(TeamInfo!$F$36=E24,"",IF(TeamInfo!$F$36=D25,"",IF(TeamInfo!$F$36=E25,"",TeamInfo!$F$36))))</f>
        <v>&lt;TL1 Name&gt;</v>
      </c>
      <c r="J24" s="57" t="str">
        <f>IF(TeamInfo!$F$38=D24,"",IF(TeamInfo!$F$38=E24,"",IF(TeamInfo!$F$38=D25,"",IF(TeamInfo!$F$38=E25,"",TeamInfo!$F$38))))</f>
        <v>&lt;TL2 Name&gt;</v>
      </c>
      <c r="K24" s="57" t="str">
        <f>IF(TeamInfo!$F$41=D24,"",IF(TeamInfo!$F$41=E24,"",IF(TeamInfo!$F$41=D25,"",IF(TeamInfo!$F$41=E25,"",TeamInfo!$F$41))))</f>
        <v>&lt;ATL3 Name&gt;</v>
      </c>
      <c r="L24" s="57" t="str">
        <f>IF(TeamInfo!$F$43=D24,"",IF(TeamInfo!$F$43=E24,"",IF(TeamInfo!$F$43=D25,"",IF(TeamInfo!$F$43=E25,"",TeamInfo!$F$43))))</f>
        <v>&lt;ATL4 Name&gt;</v>
      </c>
      <c r="M24" s="57" t="str">
        <f>IF(TeamInfo!$F$45=D24,"",IF(TeamInfo!$F$45=E24,"",IF(TeamInfo!$F$45=D25,"",IF(TeamInfo!$F$45=E25,"",TeamInfo!$F$45))))</f>
        <v>&lt;ATL5 Name&gt;</v>
      </c>
      <c r="N24" s="57" t="str">
        <f>IF(TeamInfo!$F$46=D24,"",IF(TeamInfo!$F$46=E24,"",IF(TeamInfo!$F$46=D25,"",IF(TeamInfo!$F$46=E25,"",TeamInfo!$F$46))))</f>
        <v>&lt;TL6 Name&gt;</v>
      </c>
      <c r="O24" s="57" t="str">
        <f>IF(TeamInfo!$F$31=D24,"",IF(TeamInfo!$F$31=E24,"",IF(TeamInfo!$F$31=D25,"",IF(TeamInfo!$F$31=E25,"",TeamInfo!$F$31))))</f>
        <v>&lt;BR Name&gt;</v>
      </c>
      <c r="P24" s="57" t="str">
        <f>IF(TeamInfo!$F$34=D24,"",IF(TeamInfo!$F$34=E24,"",IF(TeamInfo!$F$34=D25,"",IF(TeamInfo!$F$34=E25,"",TeamInfo!$F$34))))</f>
        <v>&lt;MD Name&gt;</v>
      </c>
      <c r="Q24" s="57" t="str">
        <f>IF(ISBLANK(TeamInfo!$F$22),"",TeamInfo!$F$22)</f>
        <v>&lt;SD2 Name&gt;</v>
      </c>
      <c r="R24" s="57" t="str">
        <f>IF(ISBLANK(TeamInfo!$F$33),"",TeamInfo!$F$33)</f>
        <v>&lt;TD2 Name&gt;</v>
      </c>
    </row>
    <row r="25" spans="1:18" s="57" customFormat="1" ht="20.100000000000001" customHeight="1" x14ac:dyDescent="0.25">
      <c r="A25" s="56" t="s">
        <v>182</v>
      </c>
      <c r="B25" s="64" t="s">
        <v>188</v>
      </c>
      <c r="C25" s="57" t="str">
        <f>IF(ISBLANK(B25),"",VLOOKUP(B25,TeamManualInfo!A1:B16,2,FALSE))</f>
        <v>TBD</v>
      </c>
      <c r="D25" s="56"/>
      <c r="E25" s="57" t="str">
        <f>IF(B25="Talk preview if needed",G25,IF(MATCH(B25,TeamInfo!$D$21:$D$48,0)&lt;15,G25,IF(ISBLANK(INDEX(TeamInfo!$F$36:$F$48,MATCH(B25,TeamInfo!$D$36:$D$48,0)+1,1)),INDEX(TeamInfo!$F$36:$F$48,MATCH(B25,TeamInfo!$D$36:$D$48,0)-1,1),INDEX(TeamInfo!$F$36:$F$48,MATCH(B25,TeamInfo!$D$36:$D$48,0)+1,1))))</f>
        <v>&lt;ALD3 Name&gt;</v>
      </c>
      <c r="F25" s="57" t="str">
        <f>+TeamInfo!F27</f>
        <v>&lt;LD Name&gt;</v>
      </c>
      <c r="G25" s="57" t="str">
        <f>+TeamInfo!F30</f>
        <v>&lt;ALD3 Name&gt;</v>
      </c>
      <c r="H25" s="57" t="str">
        <f>IF(TeamInfo!$F$27=D24,"",IF(TeamInfo!$F$27=E24,"",IF(TeamInfo!$F$27=D25,"",IF(TeamInfo!$F$27=E25,"",TeamInfo!$F$27))))</f>
        <v>&lt;LD Name&gt;</v>
      </c>
      <c r="I25" s="57" t="str">
        <f>IF(TeamInfo!$F$37=D24,"",IF(TeamInfo!$F$37=E24,"",IF(TeamInfo!$F$37=D25,"",IF(TeamInfo!$F$37=E25,"",TeamInfo!$F$37))))</f>
        <v>&lt;ATL1 Name&gt;</v>
      </c>
      <c r="J25" s="57" t="str">
        <f>IF(TeamInfo!$F$39=D24,"",IF(TeamInfo!$F$39=E24,"",IF(TeamInfo!$F$39=D25,"",IF(TeamInfo!$F$39=E25,"",TeamInfo!$F$39))))</f>
        <v>&lt;ATL2 Name&gt;</v>
      </c>
      <c r="K25" s="57" t="str">
        <f>IF(TeamInfo!$F$40=D24,"",IF(TeamInfo!$F$40=E24,"",IF(TeamInfo!$F$40=D25,"",IF(TeamInfo!$F$40=E25,"",TeamInfo!$F$40))))</f>
        <v>&lt;TL3 Name&gt;</v>
      </c>
      <c r="L25" s="57" t="str">
        <f>IF(TeamInfo!$F$42=D24,"",IF(TeamInfo!$F$42=E24,"",IF(TeamInfo!$F$42=D25,"",IF(TeamInfo!$F$42=E25,"",TeamInfo!$F$42))))</f>
        <v>&lt;TL4 Name&gt;</v>
      </c>
      <c r="M25" s="57" t="str">
        <f>IF(TeamInfo!$F$44=D24,"",IF(TeamInfo!$F$44=E24,"",IF(TeamInfo!$F$44=D25,"",IF(TeamInfo!$F$44=E25,"",TeamInfo!$F$44))))</f>
        <v>&lt;TL5 Name&gt;</v>
      </c>
      <c r="N25" s="57" t="str">
        <f>IF(TeamInfo!$F$47=D24,"",IF(TeamInfo!$F$47=E24,"",IF(TeamInfo!$F$47=D25,"",IF(TeamInfo!$F$47=E25,"",TeamInfo!$F$47))))</f>
        <v>&lt;TL7 Name&gt;</v>
      </c>
      <c r="O25" s="57" t="str">
        <f>IF(TeamInfo!$F$32=D24,"",IF(TeamInfo!$F$32=E24,"",IF(TeamInfo!$F$32=D25,"",IF(TeamInfo!$F$32=E25,"",TeamInfo!$F$32))))</f>
        <v>&lt;TD Name&gt;</v>
      </c>
      <c r="P25" s="57" t="str">
        <f>IF(TeamInfo!$F$21=D24,"",IF(TeamInfo!$F$21=E24,"",IF(TeamInfo!$F$21=D25,"",IF(TeamInfo!$F$21=E25,"",TeamInfo!$F$21))))</f>
        <v>&lt;SD Name&gt;</v>
      </c>
      <c r="Q25" s="57" t="str">
        <f>IF(ISBLANK(TeamInfo!$F$35),"",TeamInfo!$F$35)</f>
        <v>&lt;MD2 Name&gt;</v>
      </c>
    </row>
    <row r="26" spans="1:18" ht="22.5" customHeight="1" x14ac:dyDescent="0.25">
      <c r="E26" s="57"/>
    </row>
    <row r="27" spans="1:18" s="57" customFormat="1" ht="20.100000000000001" customHeight="1" x14ac:dyDescent="0.25">
      <c r="A27" s="56" t="s">
        <v>183</v>
      </c>
      <c r="B27" s="64" t="s">
        <v>120</v>
      </c>
      <c r="C27" s="56" t="str">
        <f>IF(ISBLANK(B27),"",VLOOKUP(B27,TeamManualInfo!A1:B15,2,FALSE))</f>
        <v>Pp. 25, 71</v>
      </c>
      <c r="D27" s="57" t="str">
        <f>IF(ISBLANK(B27),"",VLOOKUP(B27,TeamInfo!D21:F47,3,FALSE))</f>
        <v>TBD -  Prevenient</v>
      </c>
      <c r="E27" s="57" t="str">
        <f>IF(B27="Talk preview if needed",G27,IF(MATCH(B27,TeamInfo!$D$21:$D$48,0)&lt;15,G27,IF(ISBLANK(INDEX(TeamInfo!$F$36:$F$48,MATCH(B27,TeamInfo!$D$36:$D$48,0)+1,1)),INDEX(TeamInfo!$F$36:$F$48,MATCH(B27,TeamInfo!$D$36:$D$48,0)-1,1),INDEX(TeamInfo!$F$36:$F$48,MATCH(B27,TeamInfo!$D$36:$D$48,0)+1,1))))</f>
        <v>&lt;ALD2 Name&gt;</v>
      </c>
      <c r="F27" s="57" t="str">
        <f>+TeamInfo!F27</f>
        <v>&lt;LD Name&gt;</v>
      </c>
      <c r="G27" s="57" t="str">
        <f>+TeamInfo!F29</f>
        <v>&lt;ALD2 Name&gt;</v>
      </c>
      <c r="H27" s="57" t="str">
        <f>IF(TeamInfo!$F$28=D27,"",IF(TeamInfo!$F$28=E27,"",IF(TeamInfo!$F$28=D28,"",IF(TeamInfo!$F$28=E28,"",TeamInfo!$F$28))))</f>
        <v>&lt;ALD1 Name&gt;</v>
      </c>
      <c r="I27" s="57" t="str">
        <f>IF(TeamInfo!$F$36=D27,"",IF(TeamInfo!$F$36=E27,"",IF(TeamInfo!$F$36=D28,"",IF(TeamInfo!$F$36=E28,"",TeamInfo!$F$36))))</f>
        <v>&lt;TL1 Name&gt;</v>
      </c>
      <c r="J27" s="57" t="str">
        <f>IF(TeamInfo!$F$38=D27,"",IF(TeamInfo!$F$38=E27,"",IF(TeamInfo!$F$38=D28,"",IF(TeamInfo!$F$38=E28,"",TeamInfo!$F$38))))</f>
        <v>&lt;TL2 Name&gt;</v>
      </c>
      <c r="K27" s="57" t="str">
        <f>IF(TeamInfo!$F$41=D27,"",IF(TeamInfo!$F$41=E27,"",IF(TeamInfo!$F$41=D28,"",IF(TeamInfo!$F$41=E28,"",TeamInfo!$F$41))))</f>
        <v>&lt;ATL3 Name&gt;</v>
      </c>
      <c r="L27" s="57" t="str">
        <f>IF(TeamInfo!$F$43=D27,"",IF(TeamInfo!$F$43=E27,"",IF(TeamInfo!$F$43=D28,"",IF(TeamInfo!$F$43=E28,"",TeamInfo!$F$43))))</f>
        <v>&lt;ATL4 Name&gt;</v>
      </c>
      <c r="M27" s="57" t="str">
        <f>IF(TeamInfo!$F$45=D27,"",IF(TeamInfo!$F$45=E27,"",IF(TeamInfo!$F$45=D28,"",IF(TeamInfo!$F$45=E28,"",TeamInfo!$F$45))))</f>
        <v>&lt;ATL5 Name&gt;</v>
      </c>
      <c r="N27" s="57" t="str">
        <f>IF(TeamInfo!$F$46=D27,"",IF(TeamInfo!$F$46=E27,"",IF(TeamInfo!$F$46=D28,"",IF(TeamInfo!$F$46=E28,"",TeamInfo!$F$46))))</f>
        <v>&lt;TL6 Name&gt;</v>
      </c>
      <c r="O27" s="57" t="str">
        <f>IF(TeamInfo!$F$31=D27,"",IF(TeamInfo!$F$31=E27,"",IF(TeamInfo!$F$31=D28,"",IF(TeamInfo!$F$31=E28,"",TeamInfo!$F$31))))</f>
        <v>&lt;BR Name&gt;</v>
      </c>
      <c r="P27" s="57" t="str">
        <f>IF(TeamInfo!$F$34=D27,"",IF(TeamInfo!$F$34=E27,"",IF(TeamInfo!$F$34=D28,"",IF(TeamInfo!$F$34=E28,"",TeamInfo!$F$34))))</f>
        <v>&lt;MD Name&gt;</v>
      </c>
      <c r="Q27" s="57" t="str">
        <f>IF(ISBLANK(TeamInfo!$F$22),"",TeamInfo!$F$22)</f>
        <v>&lt;SD2 Name&gt;</v>
      </c>
      <c r="R27" s="57" t="str">
        <f>IF(ISBLANK(TeamInfo!$F$33),"",TeamInfo!$F$33)</f>
        <v>&lt;TD2 Name&gt;</v>
      </c>
    </row>
    <row r="28" spans="1:18" s="57" customFormat="1" ht="20.100000000000001" customHeight="1" x14ac:dyDescent="0.25">
      <c r="A28" s="56" t="s">
        <v>184</v>
      </c>
      <c r="B28" s="64" t="s">
        <v>121</v>
      </c>
      <c r="C28" s="56" t="str">
        <f>IF(ISBLANK(B28),"",VLOOKUP(B28,TeamManualInfo!A1:B15,2,FALSE))</f>
        <v>Pp. 25, 72</v>
      </c>
      <c r="D28" s="57" t="str">
        <f>IF(ISBLANK(B28),"",VLOOKUP(B28,TeamInfo!D21:F47,3,FALSE))</f>
        <v>TBD -  Justifying</v>
      </c>
      <c r="E28" s="57" t="str">
        <f>IF(B28="Talk preview if needed",G28,IF(MATCH(B28,TeamInfo!$D$21:$D$48,0)&lt;15,G28,IF(ISBLANK(INDEX(TeamInfo!$F$36:$F$48,MATCH(B28,TeamInfo!$D$36:$D$48,0)+1,1)),INDEX(TeamInfo!$F$36:$F$48,MATCH(B28,TeamInfo!$D$36:$D$48,0)-1,1),INDEX(TeamInfo!$F$36:$F$48,MATCH(B28,TeamInfo!$D$36:$D$48,0)+1,1))))</f>
        <v>&lt;ALD3 Name&gt;</v>
      </c>
      <c r="F28" s="57" t="str">
        <f>+TeamInfo!F27</f>
        <v>&lt;LD Name&gt;</v>
      </c>
      <c r="G28" s="57" t="str">
        <f>+TeamInfo!F30</f>
        <v>&lt;ALD3 Name&gt;</v>
      </c>
      <c r="H28" s="57" t="str">
        <f>IF(TeamInfo!$F$27=D27,"",IF(TeamInfo!$F$27=E27,"",IF(TeamInfo!$F$27=D28,"",IF(TeamInfo!$F$27=E28,"",TeamInfo!$F$27))))</f>
        <v>&lt;LD Name&gt;</v>
      </c>
      <c r="I28" s="57" t="str">
        <f>IF(TeamInfo!$F$37=D27,"",IF(TeamInfo!$F$37=E27,"",IF(TeamInfo!$F$37=D28,"",IF(TeamInfo!$F$37=E28,"",TeamInfo!$F$37))))</f>
        <v>&lt;ATL1 Name&gt;</v>
      </c>
      <c r="J28" s="57" t="str">
        <f>IF(TeamInfo!$F$39=D27,"",IF(TeamInfo!$F$39=E27,"",IF(TeamInfo!$F$39=D28,"",IF(TeamInfo!$F$39=E28,"",TeamInfo!$F$39))))</f>
        <v>&lt;ATL2 Name&gt;</v>
      </c>
      <c r="K28" s="57" t="str">
        <f>IF(TeamInfo!$F$40=D27,"",IF(TeamInfo!$F$40=E27,"",IF(TeamInfo!$F$40=D28,"",IF(TeamInfo!$F$40=E28,"",TeamInfo!$F$40))))</f>
        <v>&lt;TL3 Name&gt;</v>
      </c>
      <c r="L28" s="57" t="str">
        <f>IF(TeamInfo!$F$42=D27,"",IF(TeamInfo!$F$42=E27,"",IF(TeamInfo!$F$42=D28,"",IF(TeamInfo!$F$42=E28,"",TeamInfo!$F$42))))</f>
        <v>&lt;TL4 Name&gt;</v>
      </c>
      <c r="M28" s="57" t="str">
        <f>IF(TeamInfo!$F$44=D27,"",IF(TeamInfo!$F$44=E27,"",IF(TeamInfo!$F$44=D28,"",IF(TeamInfo!$F$44=E28,"",TeamInfo!$F$44))))</f>
        <v>&lt;TL5 Name&gt;</v>
      </c>
      <c r="N28" s="57" t="str">
        <f>IF(TeamInfo!$F$47=D27,"",IF(TeamInfo!$F$47=E27,"",IF(TeamInfo!$F$47=D28,"",IF(TeamInfo!$F$47=E28,"",TeamInfo!$F$47))))</f>
        <v>&lt;TL7 Name&gt;</v>
      </c>
      <c r="O28" s="57" t="str">
        <f>IF(TeamInfo!$F$32=D27,"",IF(TeamInfo!$F$32=E27,"",IF(TeamInfo!$F$32=D28,"",IF(TeamInfo!$F$32=E28,"",TeamInfo!$F$32))))</f>
        <v>&lt;TD Name&gt;</v>
      </c>
      <c r="P28" s="57" t="str">
        <f>IF(TeamInfo!$F$21=D27,"",IF(TeamInfo!$F$21=E27,"",IF(TeamInfo!$F$21=D28,"",IF(TeamInfo!$F$21=E28,"",TeamInfo!$F$21))))</f>
        <v>&lt;SD Name&gt;</v>
      </c>
      <c r="Q28" s="57" t="str">
        <f>IF(ISBLANK(TeamInfo!$F$35),"",TeamInfo!$F$35)</f>
        <v>&lt;MD2 Name&gt;</v>
      </c>
    </row>
    <row r="29" spans="1:18" s="57" customFormat="1" ht="20.100000000000001" customHeight="1" x14ac:dyDescent="0.25">
      <c r="A29" s="56" t="s">
        <v>185</v>
      </c>
      <c r="B29" s="64" t="s">
        <v>123</v>
      </c>
      <c r="C29" s="56" t="str">
        <f>IF(ISBLANK(B29),"",VLOOKUP(B29,TeamManualInfo!A1:B15,2,FALSE))</f>
        <v>Pp. 28-29, 73</v>
      </c>
      <c r="D29" s="57" t="str">
        <f>IF(ISBLANK(B29),"",VLOOKUP(B29,TeamInfo!D21:F47,3,FALSE))</f>
        <v>TBD -  Obstacles</v>
      </c>
      <c r="E29" s="57" t="str">
        <f>IF(B29="Talk preview if needed",G29,IF(MATCH(B29,TeamInfo!$D$21:$D$48,0)&lt;15,G29,IF(ISBLANK(INDEX(TeamInfo!$F$36:$F$48,MATCH(B29,TeamInfo!$D$36:$D$48,0)+1,1)),INDEX(TeamInfo!$F$36:$F$48,MATCH(B29,TeamInfo!$D$36:$D$48,0)-1,1),INDEX(TeamInfo!$F$36:$F$48,MATCH(B29,TeamInfo!$D$36:$D$48,0)+1,1))))</f>
        <v>&lt;ALD2 Name&gt;</v>
      </c>
      <c r="F29" s="57" t="str">
        <f>+TeamInfo!F27</f>
        <v>&lt;LD Name&gt;</v>
      </c>
      <c r="G29" s="57" t="str">
        <f>+TeamInfo!F29</f>
        <v>&lt;ALD2 Name&gt;</v>
      </c>
      <c r="H29" s="57" t="str">
        <f>IF(TeamInfo!$F$27=D29,"",IF(TeamInfo!$F$27=E29,"",IF(TeamInfo!$F$27=D30,"",IF(TeamInfo!$F$27=E30,"",TeamInfo!$F$27))))</f>
        <v>&lt;LD Name&gt;</v>
      </c>
      <c r="I29" s="57" t="str">
        <f>IF(TeamInfo!$F$36=D29,"",IF(TeamInfo!$F$36=E29,"",IF(TeamInfo!$F$36=D30,"",IF(TeamInfo!$F$36=E30,"",TeamInfo!$F$36))))</f>
        <v>&lt;TL1 Name&gt;</v>
      </c>
      <c r="J29" s="57" t="str">
        <f>IF(TeamInfo!$F$39=D29,"",IF(TeamInfo!$F$39=E29,"",IF(TeamInfo!$F$39=D30,"",IF(TeamInfo!$F$39=E30,"",TeamInfo!$F$39))))</f>
        <v>&lt;ATL2 Name&gt;</v>
      </c>
      <c r="K29" s="57" t="str">
        <f>IF(TeamInfo!$F$41=D29,"",IF(TeamInfo!$F$41=E29,"",IF(TeamInfo!$F$41=D30,"",IF(TeamInfo!$F$41=E30,"",TeamInfo!$F$41))))</f>
        <v>&lt;ATL3 Name&gt;</v>
      </c>
      <c r="L29" s="57" t="str">
        <f>IF(TeamInfo!$F$42=D29,"",IF(TeamInfo!$F$42=E29,"",IF(TeamInfo!$F$42=D30,"",IF(TeamInfo!$F$42=E30,"",TeamInfo!$F$42))))</f>
        <v>&lt;TL4 Name&gt;</v>
      </c>
      <c r="M29" s="57" t="str">
        <f>IF(TeamInfo!$F$44=D29,"",IF(TeamInfo!$F$44=E29,"",IF(TeamInfo!$F$44=D30,"",IF(TeamInfo!$F$44=E30,"",TeamInfo!$F$44))))</f>
        <v>&lt;TL5 Name&gt;</v>
      </c>
      <c r="N29" s="57" t="str">
        <f>IF(TeamInfo!$F$46=D29,"",IF(TeamInfo!$F$46=E29,"",IF(TeamInfo!$F$46=D30,"",IF(TeamInfo!$F$46=E30,"",TeamInfo!$F$46))))</f>
        <v>&lt;TL6 Name&gt;</v>
      </c>
      <c r="O29" s="57" t="str">
        <f>IF(TeamInfo!$F$31=D29,"",IF(TeamInfo!$F$31=E29,"",IF(TeamInfo!$F$31=D30,"",IF(TeamInfo!$F$31=E30,"",TeamInfo!$F$31))))</f>
        <v>&lt;BR Name&gt;</v>
      </c>
      <c r="P29" s="57" t="str">
        <f>IF(TeamInfo!$F$32=D29,"",IF(TeamInfo!$F$32=E29,"",IF(TeamInfo!$F$32=D30,"",IF(TeamInfo!$F$32=E30,"",TeamInfo!$F$32))))</f>
        <v>&lt;TD Name&gt;</v>
      </c>
      <c r="Q29" s="57" t="str">
        <f>IF(ISBLANK(TeamInfo!$F$22),"",TeamInfo!$F$22)</f>
        <v>&lt;SD2 Name&gt;</v>
      </c>
      <c r="R29" s="57" t="str">
        <f>IF(ISBLANK(TeamInfo!$F$35),"",TeamInfo!$F$35)</f>
        <v>&lt;MD2 Name&gt;</v>
      </c>
    </row>
    <row r="30" spans="1:18" s="57" customFormat="1" ht="20.100000000000001" customHeight="1" x14ac:dyDescent="0.25">
      <c r="A30" s="56" t="s">
        <v>186</v>
      </c>
      <c r="B30" s="64" t="s">
        <v>124</v>
      </c>
      <c r="C30" s="56" t="str">
        <f>IF(ISBLANK(B30),"",VLOOKUP(B30,TeamManualInfo!A1:B15,2,FALSE))</f>
        <v>Pp. 36, 74</v>
      </c>
      <c r="D30" s="57" t="str">
        <f>IF(ISBLANK(B30),"",VLOOKUP(B30,TeamInfo!D21:F47,3,FALSE))</f>
        <v>TBD -  Sanctifying</v>
      </c>
      <c r="E30" s="57" t="str">
        <f>IF(B30="Talk preview if needed",G30,IF(MATCH(B30,TeamInfo!$D$21:$D$48,0)&lt;15,G30,IF(ISBLANK(INDEX(TeamInfo!$F$36:$F$48,MATCH(B30,TeamInfo!$D$36:$D$48,0)+1,1)),INDEX(TeamInfo!$F$36:$F$48,MATCH(B30,TeamInfo!$D$36:$D$48,0)-1,1),INDEX(TeamInfo!$F$36:$F$48,MATCH(B30,TeamInfo!$D$36:$D$48,0)+1,1))))</f>
        <v>&lt;ALD3 Name&gt;</v>
      </c>
      <c r="F30" s="57" t="str">
        <f>+TeamInfo!F27</f>
        <v>&lt;LD Name&gt;</v>
      </c>
      <c r="G30" s="57" t="str">
        <f>+TeamInfo!F30</f>
        <v>&lt;ALD3 Name&gt;</v>
      </c>
      <c r="H30" s="57" t="str">
        <f>IF(TeamInfo!$F$28=D29,"",IF(TeamInfo!$F$28=E29,"",IF(TeamInfo!$F$28=D30,"",IF(TeamInfo!$F$28=E30,"",TeamInfo!$F$28))))</f>
        <v>&lt;ALD1 Name&gt;</v>
      </c>
      <c r="I30" s="57" t="str">
        <f>IF(TeamInfo!$F$37=D29,"",IF(TeamInfo!$F$37=E29,"",IF(TeamInfo!$F$37=D30,"",IF(TeamInfo!$F$37=E30,"",TeamInfo!$F$37))))</f>
        <v>&lt;ATL1 Name&gt;</v>
      </c>
      <c r="J30" s="57" t="str">
        <f>IF(TeamInfo!$F$38=D29,"",IF(TeamInfo!$F$38=E29,"",IF(TeamInfo!$F$38=D30,"",IF(TeamInfo!$F$38=E30,"",TeamInfo!$F$38))))</f>
        <v>&lt;TL2 Name&gt;</v>
      </c>
      <c r="K30" s="57" t="str">
        <f>IF(TeamInfo!$F$40=D29,"",IF(TeamInfo!$F$40=E29,"",IF(TeamInfo!$F$40=D30,"",IF(TeamInfo!$F$40=E30,"",TeamInfo!$F$40))))</f>
        <v>&lt;TL3 Name&gt;</v>
      </c>
      <c r="L30" s="57" t="str">
        <f>IF(TeamInfo!$F$43=D29,"",IF(TeamInfo!$F$43=E29,"",IF(TeamInfo!$F$43=D30,"",IF(TeamInfo!$F$43=E30,"",TeamInfo!$F$43))))</f>
        <v>&lt;ATL4 Name&gt;</v>
      </c>
      <c r="M30" s="57" t="str">
        <f>IF(TeamInfo!$F$45=D29,"",IF(TeamInfo!$F$45=E29,"",IF(TeamInfo!$F$45=D30,"",IF(TeamInfo!$F$45=E30,"",TeamInfo!$F$45))))</f>
        <v>&lt;ATL5 Name&gt;</v>
      </c>
      <c r="N30" s="57" t="str">
        <f>IF(TeamInfo!$F$47=D29,"",IF(TeamInfo!$F$47=E29,"",IF(TeamInfo!$F$47=D30,"",IF(TeamInfo!$F$47=E30,"",TeamInfo!$F$47))))</f>
        <v>&lt;TL7 Name&gt;</v>
      </c>
      <c r="O30" s="57" t="str">
        <f>IF(TeamInfo!$F$34=D29,"",IF(TeamInfo!$F$34=E29,"",IF(TeamInfo!$F$34=D30,"",IF(TeamInfo!$F$34=E30,"",TeamInfo!$F$34))))</f>
        <v>&lt;MD Name&gt;</v>
      </c>
      <c r="P30" s="57" t="str">
        <f>IF(TeamInfo!$F$21=D29,"",IF(TeamInfo!$F$21=E29,"",IF(TeamInfo!$F$21=D30,"",IF(TeamInfo!$F$21=E30,"",TeamInfo!$F$21))))</f>
        <v>&lt;SD Name&gt;</v>
      </c>
      <c r="Q30" s="57" t="str">
        <f>IF(ISBLANK(TeamInfo!$F$33),"",TeamInfo!$F$33)</f>
        <v>&lt;TD2 Name&gt;</v>
      </c>
    </row>
    <row r="31" spans="1:18" s="57" customFormat="1" ht="20.100000000000001" customHeight="1" x14ac:dyDescent="0.25">
      <c r="A31" s="56" t="s">
        <v>187</v>
      </c>
      <c r="B31" s="64" t="s">
        <v>122</v>
      </c>
      <c r="C31" s="56" t="str">
        <f>IF(ISBLANK(B31),"",VLOOKUP(B31,TeamManualInfo!A1:B15,2,FALSE))</f>
        <v>Pp. 28, 72</v>
      </c>
      <c r="D31" s="57" t="str">
        <f>IF(ISBLANK(B31),"",VLOOKUP(B31,TeamInfo!D21:F47,3,FALSE))</f>
        <v>&lt;SD Name&gt;</v>
      </c>
      <c r="E31" s="57" t="str">
        <f>IF(B31="Talk preview if needed",G31,IF(MATCH(B31,TeamInfo!$D$21:$D$48,0)&lt;15,G31,IF(ISBLANK(INDEX(TeamInfo!$F$36:$F$48,MATCH(B31,TeamInfo!$D$36:$D$48,0)+1,1)),INDEX(TeamInfo!$F$36:$F$48,MATCH(B31,TeamInfo!$D$36:$D$48,0)-1,1),INDEX(TeamInfo!$F$36:$F$48,MATCH(B31,TeamInfo!$D$36:$D$48,0)+1,1))))</f>
        <v>&lt;ALD1 Name&gt;</v>
      </c>
      <c r="F31" s="57" t="str">
        <f>+TeamInfo!F27</f>
        <v>&lt;LD Name&gt;</v>
      </c>
      <c r="G31" s="57" t="str">
        <f>+TeamInfo!F28</f>
        <v>&lt;ALD1 Name&gt;</v>
      </c>
      <c r="H31" s="56" t="s">
        <v>189</v>
      </c>
    </row>
  </sheetData>
  <mergeCells count="5">
    <mergeCell ref="A5:P5"/>
    <mergeCell ref="A1:P1"/>
    <mergeCell ref="A2:P2"/>
    <mergeCell ref="A3:P3"/>
    <mergeCell ref="A4:P4"/>
  </mergeCells>
  <phoneticPr fontId="18" type="noConversion"/>
  <pageMargins left="0.7" right="0.7" top="0.75" bottom="0.75" header="0.3" footer="0.3"/>
  <pageSetup orientation="portrait" horizontalDpi="0" verticalDpi="0" r:id="rId1"/>
  <ignoredErrors>
    <ignoredError sqref="F9:F10 G16 G19 G22 G25 G28:G29 H28:Q28 I29 J29:K29 M29:P29 Q29" 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E51"/>
  <sheetViews>
    <sheetView workbookViewId="0">
      <selection sqref="A1:E1"/>
    </sheetView>
  </sheetViews>
  <sheetFormatPr defaultRowHeight="13.2" x14ac:dyDescent="0.25"/>
  <cols>
    <col min="1" max="1" width="14" customWidth="1"/>
    <col min="2" max="2" width="15.33203125" customWidth="1"/>
    <col min="3" max="3" width="20.44140625" customWidth="1"/>
    <col min="4" max="4" width="33.88671875" customWidth="1"/>
    <col min="5" max="5" width="23.109375" customWidth="1"/>
  </cols>
  <sheetData>
    <row r="1" spans="1:5" ht="17.399999999999999" x14ac:dyDescent="0.3">
      <c r="A1" s="257" t="str">
        <f>+"New-Ark Area Emmaus "&amp;TeamInfo!D5</f>
        <v>New-Ark Area Emmaus Wo/Men's Walk #NN</v>
      </c>
      <c r="B1" s="257"/>
      <c r="C1" s="257"/>
      <c r="D1" s="257"/>
      <c r="E1" s="257"/>
    </row>
    <row r="2" spans="1:5" ht="17.399999999999999" x14ac:dyDescent="0.3">
      <c r="A2" s="257" t="s">
        <v>407</v>
      </c>
      <c r="B2" s="257"/>
      <c r="C2" s="257"/>
      <c r="D2" s="257"/>
      <c r="E2" s="257"/>
    </row>
    <row r="3" spans="1:5" s="176" customFormat="1" ht="9" customHeight="1" x14ac:dyDescent="0.3">
      <c r="A3" s="179"/>
      <c r="B3" s="179"/>
      <c r="C3" s="179"/>
      <c r="D3" s="179"/>
      <c r="E3" s="179"/>
    </row>
    <row r="4" spans="1:5" s="176" customFormat="1" ht="17.399999999999999" x14ac:dyDescent="0.3">
      <c r="A4" s="18" t="s">
        <v>422</v>
      </c>
      <c r="B4" s="18"/>
      <c r="C4" s="195" t="str">
        <f>+TeamInfo!D12</f>
        <v>March 22 - 25, 2000</v>
      </c>
      <c r="D4" s="178"/>
      <c r="E4" s="179"/>
    </row>
    <row r="5" spans="1:5" s="176" customFormat="1" ht="17.399999999999999" x14ac:dyDescent="0.3">
      <c r="A5" s="18" t="s">
        <v>408</v>
      </c>
      <c r="B5" s="18"/>
      <c r="C5" s="195" t="str">
        <f>+TeamInfo!D15</f>
        <v>January 1, 6:00 PM</v>
      </c>
      <c r="D5" s="195" t="s">
        <v>419</v>
      </c>
      <c r="E5" s="179"/>
    </row>
    <row r="6" spans="1:5" s="176" customFormat="1" ht="17.399999999999999" x14ac:dyDescent="0.3">
      <c r="A6" s="18" t="s">
        <v>409</v>
      </c>
      <c r="B6" s="196"/>
      <c r="C6" s="195" t="str">
        <f>+TeamInfo!E15</f>
        <v>January 8, 6:00 PM</v>
      </c>
      <c r="D6" s="195" t="s">
        <v>420</v>
      </c>
      <c r="E6" s="179"/>
    </row>
    <row r="7" spans="1:5" s="176" customFormat="1" ht="17.399999999999999" x14ac:dyDescent="0.3">
      <c r="A7" s="18" t="s">
        <v>410</v>
      </c>
      <c r="B7" s="196"/>
      <c r="C7" s="195" t="str">
        <f>+TeamInfo!F15</f>
        <v>January 15, 6:00 PM</v>
      </c>
      <c r="D7" s="195" t="s">
        <v>423</v>
      </c>
      <c r="E7" s="179"/>
    </row>
    <row r="8" spans="1:5" ht="9" customHeight="1" thickBot="1" x14ac:dyDescent="0.35">
      <c r="A8" s="2"/>
    </row>
    <row r="9" spans="1:5" ht="15.6" x14ac:dyDescent="0.25">
      <c r="A9" s="3" t="s">
        <v>0</v>
      </c>
      <c r="B9" s="3" t="s">
        <v>2</v>
      </c>
      <c r="C9" s="3" t="s">
        <v>3</v>
      </c>
      <c r="D9" s="6" t="s">
        <v>4</v>
      </c>
      <c r="E9" s="6" t="s">
        <v>6</v>
      </c>
    </row>
    <row r="10" spans="1:5" ht="16.2" thickBot="1" x14ac:dyDescent="0.3">
      <c r="A10" s="4" t="s">
        <v>1</v>
      </c>
      <c r="B10" s="10"/>
      <c r="C10" s="10"/>
      <c r="D10" s="7" t="s">
        <v>5</v>
      </c>
      <c r="E10" s="7" t="s">
        <v>362</v>
      </c>
    </row>
    <row r="11" spans="1:5" ht="15.75" customHeight="1" x14ac:dyDescent="0.25">
      <c r="A11" s="254" t="s">
        <v>165</v>
      </c>
      <c r="B11" s="52">
        <f>+TeamInfo!D18</f>
        <v>36557</v>
      </c>
      <c r="C11" s="6" t="str">
        <f>+TeamInfo!F31</f>
        <v>&lt;BR Name&gt;</v>
      </c>
      <c r="D11" s="3" t="str">
        <f>IF(ISBLANK(VLOOKUP(A11&amp;"-1",Previews!A1:B31,2,FALSE)),"",VLOOKUP(A11&amp;"-1",Previews!A1:B31,2,FALSE))</f>
        <v>Fourth Day</v>
      </c>
      <c r="E11" s="3" t="str">
        <f>+TeamInfo!F34</f>
        <v>&lt;MD Name&gt;</v>
      </c>
    </row>
    <row r="12" spans="1:5" ht="16.2" thickBot="1" x14ac:dyDescent="0.3">
      <c r="A12" s="255"/>
      <c r="B12" s="4" t="s">
        <v>13</v>
      </c>
      <c r="C12" s="7"/>
      <c r="D12" s="4" t="str">
        <f>IF(ISBLANK(VLOOKUP(A11&amp;"-1",Previews!A1:D31,4,FALSE)),"",VLOOKUP(A11&amp;"-1",Previews!A1:D31,4,FALSE))</f>
        <v>&lt;ALD1 Name&gt;</v>
      </c>
      <c r="E12" s="4" t="str">
        <f>+TeamInfo!F30</f>
        <v>&lt;ALD3 Name&gt;</v>
      </c>
    </row>
    <row r="13" spans="1:5" ht="15.6" x14ac:dyDescent="0.25">
      <c r="A13" s="255"/>
      <c r="B13" s="4"/>
      <c r="C13" s="7"/>
      <c r="D13" s="3" t="str">
        <f>IF(ISBLANK(VLOOKUP(A11&amp;"-2",Previews!A1:B31,2,FALSE)),"",VLOOKUP(A11&amp;"-2",Previews!A1:B31,2,FALSE))</f>
        <v>Priority</v>
      </c>
      <c r="E13" s="4" t="str">
        <f>+TeamInfo!F45</f>
        <v>&lt;ATL5 Name&gt;</v>
      </c>
    </row>
    <row r="14" spans="1:5" ht="16.2" thickBot="1" x14ac:dyDescent="0.3">
      <c r="A14" s="256"/>
      <c r="B14" s="9"/>
      <c r="C14" s="46"/>
      <c r="D14" s="10" t="str">
        <f>IF(ISBLANK(VLOOKUP(A11&amp;"-2",Previews!A1:D31,4,FALSE)),"",VLOOKUP(A11&amp;"-2",Previews!A1:D31,4,FALSE))</f>
        <v>&lt;ALD2 Name&gt;</v>
      </c>
      <c r="E14" s="4"/>
    </row>
    <row r="15" spans="1:5" ht="16.5" customHeight="1" x14ac:dyDescent="0.25">
      <c r="A15" s="254" t="s">
        <v>166</v>
      </c>
      <c r="B15" s="53">
        <f>+TeamInfo!E18</f>
        <v>36564</v>
      </c>
      <c r="C15" s="6" t="str">
        <f>+TeamInfo!F37</f>
        <v>&lt;ATL1 Name&gt;</v>
      </c>
      <c r="D15" s="13" t="str">
        <f>IF(ISBLANK(VLOOKUP(A15&amp;"-1",Previews!A1:B31,2,FALSE)),"",VLOOKUP(A15&amp;"-1",Previews!A1:B31,2,FALSE))</f>
        <v>Priesthood of All Believers</v>
      </c>
      <c r="E15" s="3" t="str">
        <f>+TeamInfo!F28</f>
        <v>&lt;ALD1 Name&gt;</v>
      </c>
    </row>
    <row r="16" spans="1:5" ht="16.2" thickBot="1" x14ac:dyDescent="0.3">
      <c r="A16" s="255"/>
      <c r="B16" s="4" t="s">
        <v>13</v>
      </c>
      <c r="C16" s="47"/>
      <c r="D16" s="10" t="str">
        <f>IF(ISBLANK(VLOOKUP(A15&amp;"-1",Previews!A1:D31,4,FALSE)),"",VLOOKUP(A15&amp;"-1",Previews!A1:D31,4,FALSE))</f>
        <v>&lt;TL1 Name&gt;</v>
      </c>
      <c r="E16" s="4" t="str">
        <f>+TeamInfo!F29</f>
        <v>&lt;ALD2 Name&gt;</v>
      </c>
    </row>
    <row r="17" spans="1:5" ht="16.5" customHeight="1" x14ac:dyDescent="0.25">
      <c r="A17" s="255"/>
      <c r="B17" s="4"/>
      <c r="C17" s="47"/>
      <c r="D17" s="13" t="str">
        <f>IF(ISBLANK(VLOOKUP(A15&amp;"-2",Previews!A1:B31,2,FALSE)),"",VLOOKUP(A15&amp;"-2",Previews!A1:B31,2,FALSE))</f>
        <v>Life of Piety</v>
      </c>
      <c r="E17" s="4" t="str">
        <f>+TeamInfo!F31</f>
        <v>&lt;BR Name&gt;</v>
      </c>
    </row>
    <row r="18" spans="1:5" ht="16.2" thickBot="1" x14ac:dyDescent="0.3">
      <c r="A18" s="256"/>
      <c r="B18" s="9"/>
      <c r="C18" s="8"/>
      <c r="D18" s="51" t="str">
        <f>IF(ISBLANK(VLOOKUP(A15&amp;"-2",Previews!A1:D31,4,FALSE)),"",VLOOKUP(A15&amp;"-2",Previews!A1:D31,4,FALSE))</f>
        <v>&lt;TL2 Name&gt;</v>
      </c>
      <c r="E18" s="4" t="str">
        <f>IF(ISBLANK(TeamInfo!F35),"",TeamInfo!F35)</f>
        <v>&lt;MD2 Name&gt;</v>
      </c>
    </row>
    <row r="19" spans="1:5" ht="17.25" customHeight="1" x14ac:dyDescent="0.25">
      <c r="A19" s="254" t="s">
        <v>167</v>
      </c>
      <c r="B19" s="53">
        <f>+TeamInfo!F18</f>
        <v>36571</v>
      </c>
      <c r="C19" s="6" t="str">
        <f>+TeamInfo!F39</f>
        <v>&lt;ATL2 Name&gt;</v>
      </c>
      <c r="D19" s="13" t="str">
        <f>IF(ISBLANK(VLOOKUP(A19&amp;"-1",Previews!A1:B31,2,FALSE)),"",VLOOKUP(A19&amp;"-1",Previews!A1:B31,2,FALSE))</f>
        <v>Grow Through Study</v>
      </c>
      <c r="E19" s="3" t="str">
        <f>+TeamInfo!F36</f>
        <v>&lt;TL1 Name&gt;</v>
      </c>
    </row>
    <row r="20" spans="1:5" ht="16.2" thickBot="1" x14ac:dyDescent="0.3">
      <c r="A20" s="255"/>
      <c r="B20" s="4" t="s">
        <v>13</v>
      </c>
      <c r="C20" s="7"/>
      <c r="D20" s="10" t="str">
        <f>IF(ISBLANK(VLOOKUP(A19&amp;"-1",Previews!A1:D31,4,FALSE)),"",VLOOKUP(A19&amp;"-1",Previews!A1:D31,4,FALSE))</f>
        <v>&lt;TL3 Name&gt;</v>
      </c>
      <c r="E20" s="4" t="str">
        <f>+TeamInfo!F38</f>
        <v>&lt;TL2 Name&gt;</v>
      </c>
    </row>
    <row r="21" spans="1:5" ht="15.6" x14ac:dyDescent="0.25">
      <c r="A21" s="255"/>
      <c r="B21" s="4"/>
      <c r="C21" s="7"/>
      <c r="D21" s="13" t="str">
        <f>IF(ISBLANK(VLOOKUP(A19&amp;"-2",Previews!A1:B31,2,FALSE)),"",VLOOKUP(A19&amp;"-2",Previews!A1:B31,2,FALSE))</f>
        <v>Christian Action</v>
      </c>
      <c r="E21" s="4" t="str">
        <f>+TeamInfo!F37</f>
        <v>&lt;ATL1 Name&gt;</v>
      </c>
    </row>
    <row r="22" spans="1:5" ht="16.2" thickBot="1" x14ac:dyDescent="0.3">
      <c r="A22" s="256"/>
      <c r="B22" s="8"/>
      <c r="C22" s="46"/>
      <c r="D22" s="51" t="str">
        <f>IF(ISBLANK(VLOOKUP(A19&amp;"-2",Previews!A1:D31,4,FALSE)),"",VLOOKUP(A19&amp;"-2",Previews!A1:D31,4,FALSE))</f>
        <v>&lt;TL4 Name&gt;</v>
      </c>
      <c r="E22" s="4"/>
    </row>
    <row r="23" spans="1:5" ht="18" customHeight="1" x14ac:dyDescent="0.25">
      <c r="A23" s="254" t="s">
        <v>168</v>
      </c>
      <c r="B23" s="52">
        <f>+TeamInfo!G18</f>
        <v>36578</v>
      </c>
      <c r="C23" s="6" t="str">
        <f>+TeamInfo!F41</f>
        <v>&lt;ATL3 Name&gt;</v>
      </c>
      <c r="D23" s="13" t="str">
        <f>IF(ISBLANK(VLOOKUP(A23&amp;"-1",Previews!A1:B31,2,FALSE)),"",VLOOKUP(A23&amp;"-1",Previews!A1:B31,2,FALSE))</f>
        <v>Discipleship</v>
      </c>
      <c r="E23" s="3" t="str">
        <f>+TeamInfo!F40</f>
        <v>&lt;TL3 Name&gt;</v>
      </c>
    </row>
    <row r="24" spans="1:5" ht="15.75" customHeight="1" thickBot="1" x14ac:dyDescent="0.3">
      <c r="A24" s="255"/>
      <c r="B24" s="4" t="s">
        <v>13</v>
      </c>
      <c r="C24" s="48"/>
      <c r="D24" s="10" t="str">
        <f>IF(ISBLANK(VLOOKUP(A23&amp;"-1",Previews!A1:D31,4,FALSE)),"",VLOOKUP(A23&amp;"-1",Previews!A1:D31,4,FALSE))</f>
        <v>&lt;TL5 Name&gt;</v>
      </c>
      <c r="E24" s="4" t="str">
        <f>+TeamInfo!F42</f>
        <v>&lt;TL4 Name&gt;</v>
      </c>
    </row>
    <row r="25" spans="1:5" ht="15.6" x14ac:dyDescent="0.25">
      <c r="A25" s="255"/>
      <c r="B25" s="4"/>
      <c r="C25" s="48"/>
      <c r="D25" s="13" t="str">
        <f>IF(ISBLANK(VLOOKUP(A23&amp;"-2",Previews!A1:B31,2,FALSE)),"",VLOOKUP(A23&amp;"-2",Previews!A1:B31,2,FALSE))</f>
        <v>Changing Our World</v>
      </c>
      <c r="E25" s="4" t="str">
        <f>+TeamInfo!F39</f>
        <v>&lt;ATL2 Name&gt;</v>
      </c>
    </row>
    <row r="26" spans="1:5" ht="15.75" customHeight="1" thickBot="1" x14ac:dyDescent="0.3">
      <c r="A26" s="256"/>
      <c r="B26" s="5"/>
      <c r="C26" s="48"/>
      <c r="D26" s="51" t="str">
        <f>IF(ISBLANK(VLOOKUP(A23&amp;"-2",Previews!A1:D31,4,FALSE)),"",VLOOKUP(A23&amp;"-2",Previews!A1:D31,4,FALSE))</f>
        <v>&lt;TL6 Name&gt;</v>
      </c>
      <c r="E26" s="4" t="str">
        <f>IF(ISBLANK(TeamInfo!F33),"",TeamInfo!F33)</f>
        <v>&lt;TD2 Name&gt;</v>
      </c>
    </row>
    <row r="27" spans="1:5" ht="15.75" customHeight="1" x14ac:dyDescent="0.25">
      <c r="A27" s="258" t="s">
        <v>169</v>
      </c>
      <c r="B27" s="54">
        <f>+TeamInfo!H18</f>
        <v>36586</v>
      </c>
      <c r="C27" s="3" t="str">
        <f>+TeamInfo!F43</f>
        <v>&lt;ATL4 Name&gt;</v>
      </c>
      <c r="D27" s="4" t="str">
        <f>IF(ISBLANK(VLOOKUP(A27&amp;"-1",Previews!A1:B31,2,FALSE)),"",VLOOKUP(A27&amp;"-1",Previews!A1:B31,2,FALSE))</f>
        <v>Body of Christ</v>
      </c>
      <c r="E27" s="3" t="str">
        <f>+TeamInfo!F44</f>
        <v>&lt;TL5 Name&gt;</v>
      </c>
    </row>
    <row r="28" spans="1:5" ht="16.2" thickBot="1" x14ac:dyDescent="0.3">
      <c r="A28" s="259"/>
      <c r="B28" s="4" t="s">
        <v>13</v>
      </c>
      <c r="C28" s="49"/>
      <c r="D28" s="10" t="str">
        <f>IF(ISBLANK(VLOOKUP(A27&amp;"-1",Previews!A1:D31,4,FALSE)),"",VLOOKUP(A27&amp;"-1",Previews!A1:D31,4,FALSE))</f>
        <v>&lt;TL7 Name&gt;</v>
      </c>
      <c r="E28" s="7" t="str">
        <f>+TeamInfo!F46</f>
        <v>&lt;TL6 Name&gt;</v>
      </c>
    </row>
    <row r="29" spans="1:5" ht="15.75" customHeight="1" x14ac:dyDescent="0.25">
      <c r="A29" s="259"/>
      <c r="C29" s="49"/>
      <c r="D29" s="4" t="str">
        <f>IF(ISBLANK(VLOOKUP(A27&amp;"-2",Previews!A1:B31,2,FALSE)),"",VLOOKUP(A27&amp;"-2",Previews!A1:B31,2,FALSE))</f>
        <v>Perseverance</v>
      </c>
      <c r="E29" s="7" t="str">
        <f>+TeamInfo!F41</f>
        <v>&lt;ATL3 Name&gt;</v>
      </c>
    </row>
    <row r="30" spans="1:5" ht="16.5" customHeight="1" thickBot="1" x14ac:dyDescent="0.3">
      <c r="A30" s="260"/>
      <c r="B30" s="13"/>
      <c r="C30" s="50"/>
      <c r="D30" s="10" t="str">
        <f>IF(ISBLANK(VLOOKUP(A27&amp;"-2",Previews!A1:D31,4,FALSE)),"",VLOOKUP(A27&amp;"-2",Previews!A1:D31,4,FALSE))</f>
        <v>&lt;LD Name&gt;</v>
      </c>
      <c r="E30" s="7"/>
    </row>
    <row r="31" spans="1:5" ht="15.6" x14ac:dyDescent="0.25">
      <c r="A31" s="254" t="s">
        <v>170</v>
      </c>
      <c r="B31" s="53">
        <f>+TeamInfo!I18</f>
        <v>36600</v>
      </c>
      <c r="C31" s="6" t="str">
        <f>+TeamInfo!F45</f>
        <v>&lt;ATL5 Name&gt;</v>
      </c>
      <c r="D31" s="13" t="str">
        <f>IF(ISBLANK(VLOOKUP(A31&amp;"-1",Previews!A1:B31,2,FALSE)),"",VLOOKUP(A31&amp;"-1",Previews!A1:B31,2,FALSE))</f>
        <v>Talk preview if needed</v>
      </c>
      <c r="E31" s="3" t="str">
        <f>+TeamInfo!F47</f>
        <v>&lt;TL7 Name&gt;</v>
      </c>
    </row>
    <row r="32" spans="1:5" ht="16.2" thickBot="1" x14ac:dyDescent="0.3">
      <c r="A32" s="255"/>
      <c r="B32" s="4" t="s">
        <v>13</v>
      </c>
      <c r="C32" s="7"/>
      <c r="D32" s="10"/>
      <c r="E32" s="4" t="str">
        <f>+TeamInfo!F27</f>
        <v>&lt;LD Name&gt;</v>
      </c>
    </row>
    <row r="33" spans="1:5" ht="15.6" x14ac:dyDescent="0.25">
      <c r="A33" s="255"/>
      <c r="B33" s="4"/>
      <c r="C33" s="7"/>
      <c r="D33" s="4" t="str">
        <f>IF(ISBLANK(VLOOKUP(A31&amp;"-2",Previews!A1:B31,2,FALSE)),"",VLOOKUP(A31&amp;"-2",Previews!A1:B31,2,FALSE))</f>
        <v>Talk preview if needed</v>
      </c>
      <c r="E33" s="4" t="str">
        <f>+TeamInfo!F43</f>
        <v>&lt;ATL4 Name&gt;</v>
      </c>
    </row>
    <row r="34" spans="1:5" ht="16.2" thickBot="1" x14ac:dyDescent="0.3">
      <c r="A34" s="255"/>
      <c r="B34" s="4"/>
      <c r="C34" s="7"/>
      <c r="D34" s="10" t="str">
        <f>IF(ISBLANK(VLOOKUP(A31&amp;"-1",Previews!A1:D31,4,FALSE)),"",VLOOKUP(A31&amp;"-1",Previews!A1:D31,4,FALSE))</f>
        <v/>
      </c>
      <c r="E34" s="4" t="str">
        <f>+TeamInfo!F32</f>
        <v>&lt;TD Name&gt;</v>
      </c>
    </row>
    <row r="35" spans="1:5" ht="17.25" customHeight="1" x14ac:dyDescent="0.25">
      <c r="A35" s="254" t="s">
        <v>159</v>
      </c>
      <c r="B35" s="53">
        <f>+TeamInfo!J18</f>
        <v>36588</v>
      </c>
      <c r="C35" s="6" t="str">
        <f>+TeamInfo!F27</f>
        <v>&lt;LD Name&gt;</v>
      </c>
      <c r="D35" s="3" t="str">
        <f>IF(ISBLANK(VLOOKUP(A35&amp;"-1",Previews!A1:B31,2,FALSE)),"",VLOOKUP(A35&amp;"-1",Previews!A1:B31,2,FALSE))</f>
        <v>Prevenient Grace</v>
      </c>
      <c r="E35" s="3" t="s">
        <v>19</v>
      </c>
    </row>
    <row r="36" spans="1:5" ht="16.5" customHeight="1" thickBot="1" x14ac:dyDescent="0.3">
      <c r="A36" s="255"/>
      <c r="B36" s="4" t="s">
        <v>19</v>
      </c>
      <c r="C36" s="7"/>
      <c r="D36" s="10" t="str">
        <f>IF(ISBLANK(VLOOKUP(A35&amp;"-1",Previews!A1:D31,4,FALSE)),"",VLOOKUP(A35&amp;"-1",Previews!A1:D31,4,FALSE))</f>
        <v>TBD -  Prevenient</v>
      </c>
      <c r="E36" s="4"/>
    </row>
    <row r="37" spans="1:5" ht="16.5" customHeight="1" x14ac:dyDescent="0.25">
      <c r="A37" s="255"/>
      <c r="B37" s="4"/>
      <c r="C37" s="7"/>
      <c r="D37" s="13" t="str">
        <f>IF(ISBLANK(VLOOKUP(A35&amp;"-2",Previews!A1:B31,2,FALSE)),"",VLOOKUP(A35&amp;"-2",Previews!A1:B31,2,FALSE))</f>
        <v>Justifying Grace</v>
      </c>
      <c r="E37" s="4"/>
    </row>
    <row r="38" spans="1:5" ht="16.5" customHeight="1" thickBot="1" x14ac:dyDescent="0.3">
      <c r="A38" s="255"/>
      <c r="B38" s="4"/>
      <c r="C38" s="7"/>
      <c r="D38" s="10" t="str">
        <f>IF(ISBLANK(VLOOKUP(A35&amp;"-2",Previews!A1:D31,4,FALSE)),"",VLOOKUP(A35&amp;"-2",Previews!A1:D31,4,FALSE))</f>
        <v>TBD -  Justifying</v>
      </c>
      <c r="E38" s="4"/>
    </row>
    <row r="39" spans="1:5" ht="16.5" customHeight="1" x14ac:dyDescent="0.25">
      <c r="A39" s="255"/>
      <c r="B39" s="4"/>
      <c r="C39" s="7"/>
      <c r="D39" s="13" t="str">
        <f>IF(ISBLANK(VLOOKUP(A35&amp;"-3",Previews!A1:B31,2,FALSE)),"",VLOOKUP(A35&amp;"-3",Previews!A1:B31,2,FALSE))</f>
        <v>Obstacles to Grace</v>
      </c>
      <c r="E39" s="4"/>
    </row>
    <row r="40" spans="1:5" ht="16.5" customHeight="1" thickBot="1" x14ac:dyDescent="0.3">
      <c r="A40" s="255"/>
      <c r="B40" s="4"/>
      <c r="C40" s="7"/>
      <c r="D40" s="10" t="str">
        <f>IF(ISBLANK(VLOOKUP(A35&amp;"-3",Previews!A1:D31,4,FALSE)),"",VLOOKUP(A35&amp;"-3",Previews!A1:D31,4,FALSE))</f>
        <v>TBD -  Obstacles</v>
      </c>
      <c r="E40" s="4"/>
    </row>
    <row r="41" spans="1:5" ht="16.5" customHeight="1" x14ac:dyDescent="0.25">
      <c r="A41" s="255"/>
      <c r="B41" s="4"/>
      <c r="C41" s="7"/>
      <c r="D41" s="13" t="str">
        <f>IF(ISBLANK(VLOOKUP(A35&amp;"-4",Previews!A1:B31,2,FALSE)),"",VLOOKUP(A35&amp;"-4",Previews!A1:B31,2,FALSE))</f>
        <v>Sanctifying Grace</v>
      </c>
      <c r="E41" s="4"/>
    </row>
    <row r="42" spans="1:5" ht="16.5" customHeight="1" thickBot="1" x14ac:dyDescent="0.3">
      <c r="A42" s="255"/>
      <c r="B42" s="4"/>
      <c r="C42" s="7"/>
      <c r="D42" s="10" t="str">
        <f>IF(ISBLANK(VLOOKUP(A35&amp;"-4",Previews!A1:D31,4,FALSE)),"",VLOOKUP(A35&amp;"-4",Previews!A1:D31,4,FALSE))</f>
        <v>TBD -  Sanctifying</v>
      </c>
      <c r="E42" s="4"/>
    </row>
    <row r="43" spans="1:5" ht="16.5" customHeight="1" x14ac:dyDescent="0.25">
      <c r="A43" s="255"/>
      <c r="B43" s="4"/>
      <c r="C43" s="7"/>
      <c r="D43" s="13" t="str">
        <f>IF(ISBLANK(VLOOKUP(A35&amp;"-5",Previews!A1:B31,2,FALSE)),"",VLOOKUP(A35&amp;"-5",Previews!A1:B31,2,FALSE))</f>
        <v>Means of Grace</v>
      </c>
      <c r="E43" s="4"/>
    </row>
    <row r="44" spans="1:5" ht="16.5" customHeight="1" thickBot="1" x14ac:dyDescent="0.3">
      <c r="A44" s="256"/>
      <c r="B44" s="8"/>
      <c r="C44" s="46"/>
      <c r="D44" s="51" t="str">
        <f>IF(ISBLANK(VLOOKUP(A35&amp;"-5",Previews!A1:D31,4,FALSE)),"",VLOOKUP(A35&amp;"-5",Previews!A1:D31,4,FALSE))</f>
        <v>&lt;SD Name&gt;</v>
      </c>
      <c r="E44" s="10"/>
    </row>
    <row r="45" spans="1:5" ht="14.25" customHeight="1" x14ac:dyDescent="0.3">
      <c r="A45" s="11"/>
      <c r="C45" s="12"/>
    </row>
    <row r="46" spans="1:5" ht="17.399999999999999" x14ac:dyDescent="0.3">
      <c r="A46" s="261" t="s">
        <v>115</v>
      </c>
      <c r="B46" s="261"/>
      <c r="C46" s="261"/>
      <c r="D46" s="261"/>
      <c r="E46" s="261"/>
    </row>
    <row r="47" spans="1:5" ht="6.75" customHeight="1" x14ac:dyDescent="0.3">
      <c r="A47" s="2"/>
    </row>
    <row r="48" spans="1:5" ht="15.6" x14ac:dyDescent="0.3">
      <c r="A48" s="262" t="s">
        <v>406</v>
      </c>
      <c r="B48" s="262"/>
      <c r="C48" s="262"/>
      <c r="D48" s="262"/>
      <c r="E48" s="262"/>
    </row>
    <row r="49" spans="1:5" ht="15.6" x14ac:dyDescent="0.3">
      <c r="A49" s="264" t="s">
        <v>403</v>
      </c>
      <c r="B49" s="264"/>
      <c r="C49" s="264"/>
      <c r="D49" s="264"/>
      <c r="E49" s="264"/>
    </row>
    <row r="50" spans="1:5" ht="15.6" x14ac:dyDescent="0.3">
      <c r="A50" s="263" t="s">
        <v>405</v>
      </c>
      <c r="B50" s="263"/>
      <c r="C50" s="263"/>
      <c r="D50" s="263"/>
      <c r="E50" s="263"/>
    </row>
    <row r="51" spans="1:5" ht="15.6" x14ac:dyDescent="0.3">
      <c r="A51" s="263" t="s">
        <v>404</v>
      </c>
      <c r="B51" s="263"/>
      <c r="C51" s="263"/>
      <c r="D51" s="263"/>
      <c r="E51" s="263"/>
    </row>
  </sheetData>
  <mergeCells count="14">
    <mergeCell ref="A46:E46"/>
    <mergeCell ref="A48:E48"/>
    <mergeCell ref="A50:E50"/>
    <mergeCell ref="A51:E51"/>
    <mergeCell ref="A49:E49"/>
    <mergeCell ref="A35:A44"/>
    <mergeCell ref="A31:A34"/>
    <mergeCell ref="A1:E1"/>
    <mergeCell ref="A2:E2"/>
    <mergeCell ref="A27:A30"/>
    <mergeCell ref="A19:A22"/>
    <mergeCell ref="A23:A26"/>
    <mergeCell ref="A15:A18"/>
    <mergeCell ref="A11:A14"/>
  </mergeCells>
  <phoneticPr fontId="6" type="noConversion"/>
  <pageMargins left="0.5" right="0.5" top="0.5" bottom="0.5" header="0.25" footer="0.25"/>
  <pageSetup scale="87"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36"/>
  <sheetViews>
    <sheetView workbookViewId="0">
      <selection sqref="A1:E1"/>
    </sheetView>
  </sheetViews>
  <sheetFormatPr defaultRowHeight="13.2" x14ac:dyDescent="0.25"/>
  <cols>
    <col min="1" max="1" width="16.44140625" customWidth="1"/>
    <col min="2" max="2" width="11.88671875" customWidth="1"/>
    <col min="3" max="3" width="11.6640625" customWidth="1"/>
    <col min="4" max="4" width="15.33203125" customWidth="1"/>
    <col min="5" max="5" width="38.88671875" customWidth="1"/>
  </cols>
  <sheetData>
    <row r="1" spans="1:5" ht="17.399999999999999" x14ac:dyDescent="0.3">
      <c r="A1" s="257" t="str">
        <f>+"New-Ark Area Emmaus "&amp;TeamInfo!D5&amp;" "&amp;TeamInfo!D6</f>
        <v xml:space="preserve">New-Ark Area Emmaus Wo/Men's Walk #NN </v>
      </c>
      <c r="B1" s="257"/>
      <c r="C1" s="257"/>
      <c r="D1" s="257"/>
      <c r="E1" s="257"/>
    </row>
    <row r="2" spans="1:5" ht="17.399999999999999" x14ac:dyDescent="0.3">
      <c r="A2" s="257" t="s">
        <v>83</v>
      </c>
      <c r="B2" s="257"/>
      <c r="C2" s="257"/>
      <c r="D2" s="257"/>
      <c r="E2" s="257"/>
    </row>
    <row r="3" spans="1:5" ht="15.6" x14ac:dyDescent="0.25">
      <c r="A3" s="270" t="s">
        <v>117</v>
      </c>
      <c r="B3" s="270"/>
      <c r="C3" s="270"/>
      <c r="D3" s="270"/>
      <c r="E3" s="270"/>
    </row>
    <row r="4" spans="1:5" ht="15.6" x14ac:dyDescent="0.25">
      <c r="A4" s="270" t="s">
        <v>118</v>
      </c>
      <c r="B4" s="270"/>
      <c r="C4" s="270"/>
      <c r="D4" s="270"/>
      <c r="E4" s="270"/>
    </row>
    <row r="5" spans="1:5" ht="13.8" thickBot="1" x14ac:dyDescent="0.3">
      <c r="A5" s="265"/>
      <c r="B5" s="265"/>
      <c r="C5" s="265"/>
      <c r="D5" s="265"/>
      <c r="E5" s="265"/>
    </row>
    <row r="6" spans="1:5" ht="14.4" thickBot="1" x14ac:dyDescent="0.3">
      <c r="A6" s="31" t="s">
        <v>113</v>
      </c>
      <c r="B6" s="271" t="str">
        <f>TeamInfo!D5&amp;" Team Prayer Partner(s)"</f>
        <v>Wo/Men's Walk #NN Team Prayer Partner(s)</v>
      </c>
      <c r="C6" s="272"/>
      <c r="D6" s="273"/>
      <c r="E6" s="33" t="s">
        <v>114</v>
      </c>
    </row>
    <row r="7" spans="1:5" ht="14.1" customHeight="1" x14ac:dyDescent="0.25">
      <c r="A7" s="32" t="str">
        <f>TeamInfo!F21</f>
        <v>&lt;SD Name&gt;</v>
      </c>
      <c r="B7" s="274" t="str">
        <f>CONCATENATE(TeamInfo!F31,IF(ISBLANK(TeamInfo!F22),""," , "&amp;TeamInfo!F22))</f>
        <v>&lt;BR Name&gt; , &lt;SD2 Name&gt;</v>
      </c>
      <c r="C7" s="275"/>
      <c r="D7" s="276"/>
      <c r="E7" s="34" t="str">
        <f>TeamInfo!A21</f>
        <v>Spiritual Director</v>
      </c>
    </row>
    <row r="8" spans="1:5" ht="12.75" customHeight="1" x14ac:dyDescent="0.25">
      <c r="A8" s="32" t="str">
        <f>IF(ISBLANK(TeamInfo!F22),"",TeamInfo!F22)</f>
        <v>&lt;SD2 Name&gt;</v>
      </c>
      <c r="B8" s="267" t="str">
        <f>IF(ISBLANK(TeamInfo!F22),"",CONCATENATE(TeamInfo!F21," , ",TeamInfo!F31))</f>
        <v>&lt;SD Name&gt; , &lt;BR Name&gt;</v>
      </c>
      <c r="C8" s="268"/>
      <c r="D8" s="269"/>
      <c r="E8" s="35" t="str">
        <f>IF(ISBLANK(TeamInfo!F22),"",TeamInfo!A22&amp;" or "&amp;TeamInfo!A21)</f>
        <v>Spiritual Director 2 or Spiritual Director</v>
      </c>
    </row>
    <row r="9" spans="1:5" ht="14.1" customHeight="1" x14ac:dyDescent="0.25">
      <c r="A9" s="32" t="str">
        <f>TeamInfo!F27</f>
        <v>&lt;LD Name&gt;</v>
      </c>
      <c r="B9" s="267" t="str">
        <f>TeamInfo!F28</f>
        <v>&lt;ALD1 Name&gt;</v>
      </c>
      <c r="C9" s="268"/>
      <c r="D9" s="269"/>
      <c r="E9" s="35" t="str">
        <f>TeamInfo!A27</f>
        <v>Lay Director</v>
      </c>
    </row>
    <row r="10" spans="1:5" ht="14.1" customHeight="1" x14ac:dyDescent="0.25">
      <c r="A10" s="32" t="str">
        <f>TeamInfo!F28</f>
        <v>&lt;ALD1 Name&gt;</v>
      </c>
      <c r="B10" s="267" t="str">
        <f>TeamInfo!F27</f>
        <v>&lt;LD Name&gt;</v>
      </c>
      <c r="C10" s="268"/>
      <c r="D10" s="269"/>
      <c r="E10" s="35" t="str">
        <f>"ALD - "&amp;TeamInfo!D28</f>
        <v>ALD - Fourth Day</v>
      </c>
    </row>
    <row r="11" spans="1:5" ht="14.1" customHeight="1" x14ac:dyDescent="0.25">
      <c r="A11" s="32" t="str">
        <f>TeamInfo!F29</f>
        <v>&lt;ALD2 Name&gt;</v>
      </c>
      <c r="B11" s="267" t="str">
        <f>TeamInfo!F30</f>
        <v>&lt;ALD3 Name&gt;</v>
      </c>
      <c r="C11" s="268"/>
      <c r="D11" s="269"/>
      <c r="E11" s="35" t="str">
        <f>"ALD - "&amp;TeamInfo!D29</f>
        <v>ALD - Priority</v>
      </c>
    </row>
    <row r="12" spans="1:5" ht="14.1" customHeight="1" x14ac:dyDescent="0.25">
      <c r="A12" s="32" t="str">
        <f>TeamInfo!F30</f>
        <v>&lt;ALD3 Name&gt;</v>
      </c>
      <c r="B12" s="267" t="str">
        <f>TeamInfo!F29</f>
        <v>&lt;ALD2 Name&gt;</v>
      </c>
      <c r="C12" s="268"/>
      <c r="D12" s="269"/>
      <c r="E12" s="35" t="str">
        <f>TeamInfo!A30</f>
        <v>No Talk ALD</v>
      </c>
    </row>
    <row r="13" spans="1:5" ht="14.1" customHeight="1" x14ac:dyDescent="0.25">
      <c r="A13" s="32" t="str">
        <f>TeamInfo!F31</f>
        <v>&lt;BR Name&gt;</v>
      </c>
      <c r="B13" s="267" t="str">
        <f>CONCATENATE(TeamInfo!F21,IF(ISBLANK(TeamInfo!F22),""," , "&amp;TeamInfo!F22))</f>
        <v>&lt;SD Name&gt; , &lt;SD2 Name&gt;</v>
      </c>
      <c r="C13" s="268"/>
      <c r="D13" s="269"/>
      <c r="E13" s="35" t="str">
        <f>TeamInfo!A31</f>
        <v>Board Rep</v>
      </c>
    </row>
    <row r="14" spans="1:5" ht="14.1" customHeight="1" x14ac:dyDescent="0.25">
      <c r="A14" s="32" t="str">
        <f>TeamInfo!F32</f>
        <v>&lt;TD Name&gt;</v>
      </c>
      <c r="B14" s="267" t="str">
        <f>CONCATENATE(TeamInfo!F34,IF(ISBLANK(TeamInfo!F33),""," , "&amp;TeamInfo!F33),IF(ISBLANK(TeamInfo!F35),""," , "&amp;TeamInfo!F35))</f>
        <v>&lt;MD Name&gt; , &lt;TD2 Name&gt; , &lt;MD2 Name&gt;</v>
      </c>
      <c r="C14" s="268"/>
      <c r="D14" s="269"/>
      <c r="E14" s="35" t="str">
        <f>TeamInfo!A32</f>
        <v>Technical Director</v>
      </c>
    </row>
    <row r="15" spans="1:5" ht="15" customHeight="1" x14ac:dyDescent="0.25">
      <c r="A15" s="32" t="str">
        <f>IF(ISBLANK(TeamInfo!F33),"",TeamInfo!F33)</f>
        <v>&lt;TD2 Name&gt;</v>
      </c>
      <c r="B15" s="267" t="str">
        <f>IF(ISBLANK(TeamInfo!F33),"",CONCATENATE(TeamInfo!F32," , "&amp;TeamInfo!F34,IF(ISBLANK(TeamInfo!F35),""," , "&amp;TeamInfo!F35)))</f>
        <v>&lt;TD Name&gt; , &lt;MD Name&gt; , &lt;MD2 Name&gt;</v>
      </c>
      <c r="C15" s="268"/>
      <c r="D15" s="269"/>
      <c r="E15" s="35" t="str">
        <f>IF(ISBLANK(TeamInfo!F33),"",TeamInfo!A33&amp;" or "&amp;TeamInfo!A32)</f>
        <v>Technical Director 2 or Technical Director</v>
      </c>
    </row>
    <row r="16" spans="1:5" ht="14.1" customHeight="1" x14ac:dyDescent="0.25">
      <c r="A16" s="32" t="str">
        <f>TeamInfo!F34</f>
        <v>&lt;MD Name&gt;</v>
      </c>
      <c r="B16" s="267" t="str">
        <f>CONCATENATE(TeamInfo!F32,IF(ISBLANK(TeamInfo!F35),""," , "&amp;TeamInfo!F35),IF(ISBLANK(TeamInfo!F33),""," , "&amp;TeamInfo!F33))</f>
        <v>&lt;TD Name&gt; , &lt;MD2 Name&gt; , &lt;TD2 Name&gt;</v>
      </c>
      <c r="C16" s="268"/>
      <c r="D16" s="269"/>
      <c r="E16" s="35" t="str">
        <f>TeamInfo!A34</f>
        <v>Music Director</v>
      </c>
    </row>
    <row r="17" spans="1:5" ht="16.5" customHeight="1" x14ac:dyDescent="0.25">
      <c r="A17" s="32" t="str">
        <f>IF(ISBLANK(TeamInfo!F35),"",TeamInfo!F35)</f>
        <v>&lt;MD2 Name&gt;</v>
      </c>
      <c r="B17" s="267" t="str">
        <f>IF(ISBLANK(TeamInfo!F35),"",CONCATENATE(TeamInfo!F34," , "&amp;TeamInfo!F32,IF(ISBLANK(TeamInfo!F33),""," , "&amp;TeamInfo!F33)))</f>
        <v>&lt;MD Name&gt; , &lt;TD Name&gt; , &lt;TD2 Name&gt;</v>
      </c>
      <c r="C17" s="268"/>
      <c r="D17" s="269"/>
      <c r="E17" s="35" t="str">
        <f>IF(ISBLANK(TeamInfo!F35),"",TeamInfo!A35&amp;" or "&amp;TeamInfo!A34)</f>
        <v>Music Director 2 or Music Director</v>
      </c>
    </row>
    <row r="18" spans="1:5" ht="14.1" customHeight="1" x14ac:dyDescent="0.25">
      <c r="A18" s="32" t="str">
        <f>TeamInfo!F36</f>
        <v>&lt;TL1 Name&gt;</v>
      </c>
      <c r="B18" s="267" t="str">
        <f>TeamInfo!F37</f>
        <v>&lt;ATL1 Name&gt;</v>
      </c>
      <c r="C18" s="268"/>
      <c r="D18" s="269"/>
      <c r="E18" s="35" t="s">
        <v>334</v>
      </c>
    </row>
    <row r="19" spans="1:5" ht="14.1" customHeight="1" x14ac:dyDescent="0.25">
      <c r="A19" s="32" t="str">
        <f>TeamInfo!F37</f>
        <v>&lt;ATL1 Name&gt;</v>
      </c>
      <c r="B19" s="267" t="str">
        <f>TeamInfo!F36</f>
        <v>&lt;TL1 Name&gt;</v>
      </c>
      <c r="C19" s="268"/>
      <c r="D19" s="269"/>
      <c r="E19" s="35" t="s">
        <v>340</v>
      </c>
    </row>
    <row r="20" spans="1:5" ht="14.1" customHeight="1" x14ac:dyDescent="0.25">
      <c r="A20" s="32" t="str">
        <f>TeamInfo!F38</f>
        <v>&lt;TL2 Name&gt;</v>
      </c>
      <c r="B20" s="267" t="str">
        <f>TeamInfo!F39</f>
        <v>&lt;ATL2 Name&gt;</v>
      </c>
      <c r="C20" s="268"/>
      <c r="D20" s="269"/>
      <c r="E20" s="35" t="s">
        <v>335</v>
      </c>
    </row>
    <row r="21" spans="1:5" ht="14.1" customHeight="1" x14ac:dyDescent="0.25">
      <c r="A21" s="32" t="str">
        <f>TeamInfo!F39</f>
        <v>&lt;ATL2 Name&gt;</v>
      </c>
      <c r="B21" s="267" t="str">
        <f>TeamInfo!F38</f>
        <v>&lt;TL2 Name&gt;</v>
      </c>
      <c r="C21" s="268"/>
      <c r="D21" s="269"/>
      <c r="E21" s="35" t="s">
        <v>341</v>
      </c>
    </row>
    <row r="22" spans="1:5" ht="14.1" customHeight="1" x14ac:dyDescent="0.25">
      <c r="A22" s="32" t="str">
        <f>TeamInfo!F40</f>
        <v>&lt;TL3 Name&gt;</v>
      </c>
      <c r="B22" s="267" t="str">
        <f>TeamInfo!F41</f>
        <v>&lt;ATL3 Name&gt;</v>
      </c>
      <c r="C22" s="268"/>
      <c r="D22" s="269"/>
      <c r="E22" s="35" t="s">
        <v>336</v>
      </c>
    </row>
    <row r="23" spans="1:5" ht="14.1" customHeight="1" x14ac:dyDescent="0.25">
      <c r="A23" s="32" t="str">
        <f>TeamInfo!F41</f>
        <v>&lt;ATL3 Name&gt;</v>
      </c>
      <c r="B23" s="267" t="str">
        <f>TeamInfo!F40</f>
        <v>&lt;TL3 Name&gt;</v>
      </c>
      <c r="C23" s="268"/>
      <c r="D23" s="269"/>
      <c r="E23" s="35" t="s">
        <v>342</v>
      </c>
    </row>
    <row r="24" spans="1:5" ht="14.1" customHeight="1" x14ac:dyDescent="0.25">
      <c r="A24" s="32" t="str">
        <f>TeamInfo!F42</f>
        <v>&lt;TL4 Name&gt;</v>
      </c>
      <c r="B24" s="267" t="str">
        <f>TeamInfo!F43</f>
        <v>&lt;ATL4 Name&gt;</v>
      </c>
      <c r="C24" s="268"/>
      <c r="D24" s="269"/>
      <c r="E24" s="35" t="s">
        <v>337</v>
      </c>
    </row>
    <row r="25" spans="1:5" ht="14.1" customHeight="1" x14ac:dyDescent="0.25">
      <c r="A25" s="32" t="str">
        <f>TeamInfo!F43</f>
        <v>&lt;ATL4 Name&gt;</v>
      </c>
      <c r="B25" s="267" t="str">
        <f>TeamInfo!F42</f>
        <v>&lt;TL4 Name&gt;</v>
      </c>
      <c r="C25" s="268"/>
      <c r="D25" s="269"/>
      <c r="E25" s="35" t="s">
        <v>343</v>
      </c>
    </row>
    <row r="26" spans="1:5" ht="14.1" customHeight="1" x14ac:dyDescent="0.25">
      <c r="A26" s="32" t="str">
        <f>TeamInfo!F44</f>
        <v>&lt;TL5 Name&gt;</v>
      </c>
      <c r="B26" s="267" t="str">
        <f>TeamInfo!F45</f>
        <v>&lt;ATL5 Name&gt;</v>
      </c>
      <c r="C26" s="268"/>
      <c r="D26" s="269"/>
      <c r="E26" s="35" t="s">
        <v>338</v>
      </c>
    </row>
    <row r="27" spans="1:5" ht="14.1" customHeight="1" x14ac:dyDescent="0.25">
      <c r="A27" s="32" t="str">
        <f>TeamInfo!F45</f>
        <v>&lt;ATL5 Name&gt;</v>
      </c>
      <c r="B27" s="267" t="str">
        <f>TeamInfo!F44</f>
        <v>&lt;TL5 Name&gt;</v>
      </c>
      <c r="C27" s="268"/>
      <c r="D27" s="269"/>
      <c r="E27" s="35" t="s">
        <v>344</v>
      </c>
    </row>
    <row r="28" spans="1:5" ht="14.1" customHeight="1" x14ac:dyDescent="0.25">
      <c r="A28" s="32" t="str">
        <f>TeamInfo!F46</f>
        <v>&lt;TL6 Name&gt;</v>
      </c>
      <c r="B28" s="267" t="str">
        <f>TeamInfo!F47</f>
        <v>&lt;TL7 Name&gt;</v>
      </c>
      <c r="C28" s="268"/>
      <c r="D28" s="269"/>
      <c r="E28" s="35" t="s">
        <v>339</v>
      </c>
    </row>
    <row r="29" spans="1:5" ht="14.1" customHeight="1" thickBot="1" x14ac:dyDescent="0.3">
      <c r="A29" s="32" t="str">
        <f>TeamInfo!F47</f>
        <v>&lt;TL7 Name&gt;</v>
      </c>
      <c r="B29" s="277" t="str">
        <f>TeamInfo!F46</f>
        <v>&lt;TL6 Name&gt;</v>
      </c>
      <c r="C29" s="278"/>
      <c r="D29" s="279"/>
      <c r="E29" s="35" t="s">
        <v>345</v>
      </c>
    </row>
    <row r="30" spans="1:5" x14ac:dyDescent="0.25">
      <c r="A30" s="266"/>
      <c r="B30" s="266"/>
      <c r="C30" s="266"/>
      <c r="D30" s="266"/>
      <c r="E30" s="266"/>
    </row>
    <row r="31" spans="1:5" x14ac:dyDescent="0.25">
      <c r="A31" s="236"/>
      <c r="B31" s="236"/>
      <c r="C31" s="236"/>
      <c r="D31" s="236"/>
      <c r="E31" s="236"/>
    </row>
    <row r="32" spans="1:5" ht="46.5" customHeight="1" x14ac:dyDescent="0.25">
      <c r="A32" s="280" t="s">
        <v>129</v>
      </c>
      <c r="B32" s="280"/>
      <c r="C32" s="280"/>
      <c r="D32" s="280"/>
      <c r="E32" s="280"/>
    </row>
    <row r="33" spans="1:5" x14ac:dyDescent="0.25">
      <c r="A33" s="236"/>
      <c r="B33" s="236"/>
      <c r="C33" s="236"/>
      <c r="D33" s="236"/>
      <c r="E33" s="236"/>
    </row>
    <row r="34" spans="1:5" x14ac:dyDescent="0.25">
      <c r="A34" s="236"/>
      <c r="B34" s="236"/>
      <c r="C34" s="236"/>
      <c r="D34" s="236"/>
      <c r="E34" s="236"/>
    </row>
    <row r="35" spans="1:5" x14ac:dyDescent="0.25">
      <c r="A35" s="236"/>
      <c r="B35" s="236"/>
      <c r="C35" s="236"/>
      <c r="D35" s="236"/>
      <c r="E35" s="236"/>
    </row>
    <row r="36" spans="1:5" x14ac:dyDescent="0.25">
      <c r="A36" s="236"/>
      <c r="B36" s="236"/>
      <c r="C36" s="236"/>
      <c r="D36" s="236"/>
      <c r="E36" s="236"/>
    </row>
  </sheetData>
  <mergeCells count="36">
    <mergeCell ref="A36:E36"/>
    <mergeCell ref="B29:D29"/>
    <mergeCell ref="B14:D14"/>
    <mergeCell ref="B15:D15"/>
    <mergeCell ref="B17:D17"/>
    <mergeCell ref="A32:E32"/>
    <mergeCell ref="A33:E33"/>
    <mergeCell ref="A34:E34"/>
    <mergeCell ref="A35:E35"/>
    <mergeCell ref="B16:D16"/>
    <mergeCell ref="B26:D26"/>
    <mergeCell ref="B27:D27"/>
    <mergeCell ref="B23:D23"/>
    <mergeCell ref="B24:D24"/>
    <mergeCell ref="B20:D20"/>
    <mergeCell ref="A3:E3"/>
    <mergeCell ref="A4:E4"/>
    <mergeCell ref="B6:D6"/>
    <mergeCell ref="B7:D7"/>
    <mergeCell ref="B8:D8"/>
    <mergeCell ref="A1:E1"/>
    <mergeCell ref="A2:E2"/>
    <mergeCell ref="A5:E5"/>
    <mergeCell ref="A30:E30"/>
    <mergeCell ref="A31:E31"/>
    <mergeCell ref="B9:D9"/>
    <mergeCell ref="B10:D10"/>
    <mergeCell ref="B11:D11"/>
    <mergeCell ref="B12:D12"/>
    <mergeCell ref="B21:D21"/>
    <mergeCell ref="B22:D22"/>
    <mergeCell ref="B13:D13"/>
    <mergeCell ref="B28:D28"/>
    <mergeCell ref="B25:D25"/>
    <mergeCell ref="B18:D18"/>
    <mergeCell ref="B19:D19"/>
  </mergeCells>
  <phoneticPr fontId="6" type="noConversion"/>
  <pageMargins left="0.64" right="0.49" top="1" bottom="1" header="0.5" footer="0.5"/>
  <pageSetup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E54"/>
  <sheetViews>
    <sheetView workbookViewId="0">
      <selection sqref="A1:E1"/>
    </sheetView>
  </sheetViews>
  <sheetFormatPr defaultRowHeight="13.2" x14ac:dyDescent="0.25"/>
  <cols>
    <col min="1" max="1" width="6" customWidth="1"/>
    <col min="2" max="5" width="19.44140625" customWidth="1"/>
  </cols>
  <sheetData>
    <row r="1" spans="1:5" ht="17.399999999999999" x14ac:dyDescent="0.3">
      <c r="A1" s="257" t="s">
        <v>415</v>
      </c>
      <c r="B1" s="257"/>
      <c r="C1" s="257"/>
      <c r="D1" s="257"/>
      <c r="E1" s="257"/>
    </row>
    <row r="2" spans="1:5" ht="12" customHeight="1" x14ac:dyDescent="0.3">
      <c r="A2" s="21"/>
    </row>
    <row r="3" spans="1:5" ht="15.6" x14ac:dyDescent="0.3">
      <c r="A3" s="22" t="s">
        <v>64</v>
      </c>
      <c r="B3" s="23"/>
      <c r="C3" s="23"/>
      <c r="D3" s="23"/>
      <c r="E3" s="23"/>
    </row>
    <row r="4" spans="1:5" ht="12" customHeight="1" x14ac:dyDescent="0.3">
      <c r="A4" s="2"/>
      <c r="B4" s="23"/>
      <c r="C4" s="23"/>
      <c r="D4" s="23"/>
      <c r="E4" s="23"/>
    </row>
    <row r="5" spans="1:5" ht="15.6" x14ac:dyDescent="0.3">
      <c r="A5" s="22" t="s">
        <v>132</v>
      </c>
      <c r="B5" s="23"/>
      <c r="C5" s="23"/>
      <c r="D5" s="23"/>
      <c r="E5" s="23"/>
    </row>
    <row r="6" spans="1:5" ht="12" customHeight="1" x14ac:dyDescent="0.3">
      <c r="A6" s="2"/>
      <c r="B6" s="23"/>
      <c r="C6" s="23"/>
      <c r="D6" s="23"/>
      <c r="E6" s="23"/>
    </row>
    <row r="7" spans="1:5" ht="15.6" x14ac:dyDescent="0.3">
      <c r="A7" s="22" t="s">
        <v>74</v>
      </c>
      <c r="B7" s="23"/>
      <c r="C7" s="23"/>
      <c r="D7" s="23"/>
      <c r="E7" s="23"/>
    </row>
    <row r="8" spans="1:5" ht="15.6" x14ac:dyDescent="0.3">
      <c r="A8" s="2" t="s">
        <v>125</v>
      </c>
      <c r="B8" s="23"/>
      <c r="C8" s="23"/>
      <c r="D8" s="23"/>
      <c r="E8" s="23"/>
    </row>
    <row r="9" spans="1:5" ht="12" customHeight="1" x14ac:dyDescent="0.3">
      <c r="A9" s="2"/>
      <c r="B9" s="23"/>
      <c r="C9" s="23"/>
      <c r="D9" s="23"/>
      <c r="E9" s="23"/>
    </row>
    <row r="10" spans="1:5" ht="15.6" x14ac:dyDescent="0.3">
      <c r="A10" s="22" t="s">
        <v>75</v>
      </c>
      <c r="B10" s="23"/>
      <c r="C10" s="23"/>
      <c r="D10" s="23"/>
      <c r="E10" s="23"/>
    </row>
    <row r="11" spans="1:5" ht="15.6" x14ac:dyDescent="0.3">
      <c r="A11" s="2" t="s">
        <v>227</v>
      </c>
      <c r="B11" s="23"/>
      <c r="C11" s="23"/>
      <c r="D11" s="23"/>
      <c r="E11" s="23"/>
    </row>
    <row r="12" spans="1:5" ht="15.6" x14ac:dyDescent="0.3">
      <c r="A12" s="2" t="s">
        <v>128</v>
      </c>
      <c r="B12" s="23"/>
      <c r="C12" s="23"/>
      <c r="D12" s="23"/>
      <c r="E12" s="23"/>
    </row>
    <row r="13" spans="1:5" ht="12" customHeight="1" x14ac:dyDescent="0.3">
      <c r="A13" s="2"/>
      <c r="B13" s="23"/>
      <c r="C13" s="23"/>
      <c r="D13" s="23"/>
      <c r="E13" s="23"/>
    </row>
    <row r="14" spans="1:5" ht="15.6" x14ac:dyDescent="0.3">
      <c r="A14" s="22" t="s">
        <v>226</v>
      </c>
      <c r="B14" s="23"/>
      <c r="C14" s="23"/>
      <c r="D14" s="23"/>
      <c r="E14" s="23"/>
    </row>
    <row r="15" spans="1:5" ht="15.6" x14ac:dyDescent="0.3">
      <c r="A15" s="18" t="s">
        <v>76</v>
      </c>
      <c r="B15" s="23"/>
      <c r="C15" s="23"/>
      <c r="D15" s="23"/>
      <c r="E15" s="23"/>
    </row>
    <row r="16" spans="1:5" ht="15.6" x14ac:dyDescent="0.3">
      <c r="A16" s="2" t="s">
        <v>77</v>
      </c>
      <c r="B16" s="23"/>
      <c r="C16" s="23"/>
      <c r="D16" s="23"/>
      <c r="E16" s="23"/>
    </row>
    <row r="17" spans="1:5" ht="12" customHeight="1" x14ac:dyDescent="0.3">
      <c r="A17" s="2"/>
      <c r="B17" s="23"/>
      <c r="C17" s="23"/>
      <c r="D17" s="23"/>
      <c r="E17" s="23"/>
    </row>
    <row r="18" spans="1:5" ht="15.6" x14ac:dyDescent="0.3">
      <c r="A18" s="22" t="s">
        <v>65</v>
      </c>
      <c r="B18" s="23"/>
      <c r="C18" s="23"/>
      <c r="D18" s="23"/>
      <c r="E18" s="23"/>
    </row>
    <row r="19" spans="1:5" ht="15.6" x14ac:dyDescent="0.3">
      <c r="A19" s="2" t="s">
        <v>228</v>
      </c>
      <c r="B19" s="23"/>
      <c r="C19" s="23"/>
      <c r="D19" s="23"/>
      <c r="E19" s="23"/>
    </row>
    <row r="20" spans="1:5" ht="15.6" x14ac:dyDescent="0.3">
      <c r="A20" s="2" t="s">
        <v>229</v>
      </c>
      <c r="B20" s="2"/>
      <c r="C20" s="23"/>
      <c r="D20" s="23"/>
      <c r="E20" s="23"/>
    </row>
    <row r="21" spans="1:5" ht="12" customHeight="1" x14ac:dyDescent="0.3">
      <c r="A21" s="2"/>
      <c r="B21" s="23"/>
      <c r="C21" s="23"/>
      <c r="D21" s="23"/>
      <c r="E21" s="23"/>
    </row>
    <row r="22" spans="1:5" ht="15.6" x14ac:dyDescent="0.3">
      <c r="A22" s="22" t="s">
        <v>66</v>
      </c>
      <c r="B22" s="23"/>
      <c r="C22" s="23"/>
      <c r="D22" s="23"/>
      <c r="E22" s="23"/>
    </row>
    <row r="23" spans="1:5" ht="15.6" x14ac:dyDescent="0.3">
      <c r="A23" s="2" t="s">
        <v>230</v>
      </c>
      <c r="B23" s="23"/>
      <c r="C23" s="23"/>
      <c r="D23" s="23"/>
      <c r="E23" s="23"/>
    </row>
    <row r="24" spans="1:5" ht="15.6" x14ac:dyDescent="0.3">
      <c r="A24" s="2" t="s">
        <v>231</v>
      </c>
      <c r="B24" s="2"/>
      <c r="C24" s="23"/>
      <c r="D24" s="23"/>
      <c r="E24" s="23"/>
    </row>
    <row r="25" spans="1:5" ht="15.6" x14ac:dyDescent="0.3">
      <c r="A25" s="2" t="s">
        <v>67</v>
      </c>
      <c r="B25" s="2"/>
      <c r="C25" s="23"/>
      <c r="D25" s="23"/>
      <c r="E25" s="23"/>
    </row>
    <row r="26" spans="1:5" ht="15.6" x14ac:dyDescent="0.3">
      <c r="A26" s="2" t="s">
        <v>68</v>
      </c>
      <c r="B26" s="2"/>
      <c r="C26" s="23"/>
      <c r="D26" s="23"/>
      <c r="E26" s="23"/>
    </row>
    <row r="27" spans="1:5" ht="15.6" x14ac:dyDescent="0.3">
      <c r="A27" s="2" t="s">
        <v>69</v>
      </c>
      <c r="B27" s="2"/>
      <c r="C27" s="23"/>
      <c r="D27" s="23"/>
      <c r="E27" s="23"/>
    </row>
    <row r="28" spans="1:5" ht="15.6" x14ac:dyDescent="0.3">
      <c r="A28" s="18" t="s">
        <v>70</v>
      </c>
      <c r="B28" s="23"/>
      <c r="C28" s="23"/>
      <c r="D28" s="23"/>
      <c r="E28" s="23"/>
    </row>
    <row r="29" spans="1:5" ht="12" customHeight="1" x14ac:dyDescent="0.3">
      <c r="A29" s="2"/>
      <c r="B29" s="23"/>
      <c r="C29" s="23"/>
      <c r="D29" s="23"/>
      <c r="E29" s="23"/>
    </row>
    <row r="30" spans="1:5" ht="15.6" x14ac:dyDescent="0.3">
      <c r="A30" s="22" t="s">
        <v>232</v>
      </c>
      <c r="B30" s="23"/>
      <c r="C30" s="23"/>
      <c r="D30" s="23"/>
      <c r="E30" s="23"/>
    </row>
    <row r="31" spans="1:5" ht="15.6" x14ac:dyDescent="0.3">
      <c r="A31" s="18" t="s">
        <v>71</v>
      </c>
      <c r="B31" s="23"/>
      <c r="C31" s="23"/>
      <c r="D31" s="23"/>
      <c r="E31" s="23"/>
    </row>
    <row r="32" spans="1:5" ht="15.6" x14ac:dyDescent="0.3">
      <c r="A32" s="18" t="s">
        <v>233</v>
      </c>
      <c r="B32" s="23"/>
      <c r="C32" s="23"/>
      <c r="D32" s="23"/>
      <c r="E32" s="23"/>
    </row>
    <row r="33" spans="1:5" ht="12" customHeight="1" x14ac:dyDescent="0.3">
      <c r="A33" s="2"/>
      <c r="B33" s="23"/>
      <c r="C33" s="23"/>
      <c r="D33" s="23"/>
      <c r="E33" s="23"/>
    </row>
    <row r="34" spans="1:5" ht="15.6" x14ac:dyDescent="0.3">
      <c r="A34" s="22" t="s">
        <v>72</v>
      </c>
      <c r="B34" s="23"/>
      <c r="C34" s="23"/>
      <c r="D34" s="23"/>
      <c r="E34" s="23"/>
    </row>
    <row r="35" spans="1:5" ht="15.6" x14ac:dyDescent="0.3">
      <c r="A35" s="18" t="s">
        <v>348</v>
      </c>
      <c r="B35" s="23"/>
      <c r="C35" s="23"/>
      <c r="D35" s="23"/>
      <c r="E35" s="23"/>
    </row>
    <row r="36" spans="1:5" ht="15.6" x14ac:dyDescent="0.3">
      <c r="A36" s="18" t="s">
        <v>78</v>
      </c>
      <c r="B36" s="23"/>
      <c r="C36" s="23"/>
      <c r="D36" s="23"/>
      <c r="E36" s="23"/>
    </row>
    <row r="37" spans="1:5" ht="12" customHeight="1" x14ac:dyDescent="0.3">
      <c r="A37" s="2"/>
      <c r="B37" s="23"/>
      <c r="C37" s="23"/>
      <c r="D37" s="23"/>
      <c r="E37" s="23"/>
    </row>
    <row r="38" spans="1:5" ht="15.6" x14ac:dyDescent="0.3">
      <c r="A38" s="22" t="s">
        <v>79</v>
      </c>
      <c r="B38" s="23"/>
      <c r="C38" s="23"/>
      <c r="D38" s="23"/>
      <c r="E38" s="23"/>
    </row>
    <row r="39" spans="1:5" ht="15.6" x14ac:dyDescent="0.3">
      <c r="A39" s="2" t="s">
        <v>215</v>
      </c>
      <c r="B39" s="2"/>
      <c r="C39" s="23"/>
      <c r="D39" s="23"/>
      <c r="E39" s="23"/>
    </row>
    <row r="40" spans="1:5" ht="15.6" x14ac:dyDescent="0.3">
      <c r="A40" s="2" t="s">
        <v>216</v>
      </c>
      <c r="B40" s="2"/>
      <c r="C40" s="23"/>
      <c r="D40" s="23"/>
      <c r="E40" s="23"/>
    </row>
    <row r="41" spans="1:5" ht="15.6" x14ac:dyDescent="0.3">
      <c r="A41" s="2"/>
      <c r="B41" s="2" t="s">
        <v>220</v>
      </c>
      <c r="C41" s="23"/>
      <c r="D41" s="23"/>
      <c r="E41" s="23"/>
    </row>
    <row r="42" spans="1:5" ht="15.6" x14ac:dyDescent="0.3">
      <c r="A42" s="18"/>
      <c r="B42" s="2" t="s">
        <v>222</v>
      </c>
      <c r="C42" s="23"/>
      <c r="D42" s="23"/>
      <c r="E42" s="23"/>
    </row>
    <row r="43" spans="1:5" ht="15.6" x14ac:dyDescent="0.3">
      <c r="A43" s="2"/>
      <c r="B43" s="2" t="s">
        <v>221</v>
      </c>
      <c r="C43" s="23"/>
      <c r="D43" s="23"/>
      <c r="E43" s="23"/>
    </row>
    <row r="44" spans="1:5" ht="15.6" x14ac:dyDescent="0.3">
      <c r="A44" s="2"/>
      <c r="B44" s="2" t="s">
        <v>217</v>
      </c>
      <c r="C44" s="23"/>
      <c r="D44" s="23"/>
      <c r="E44" s="23"/>
    </row>
    <row r="45" spans="1:5" ht="15.6" x14ac:dyDescent="0.3">
      <c r="A45" s="2"/>
      <c r="B45" s="2" t="s">
        <v>351</v>
      </c>
      <c r="C45" s="23"/>
      <c r="D45" s="23"/>
      <c r="E45" s="23"/>
    </row>
    <row r="46" spans="1:5" ht="15.6" x14ac:dyDescent="0.3">
      <c r="A46" s="2"/>
      <c r="B46" s="2" t="s">
        <v>467</v>
      </c>
      <c r="C46" s="23"/>
      <c r="D46" s="23"/>
      <c r="E46" s="23"/>
    </row>
    <row r="47" spans="1:5" ht="15.6" x14ac:dyDescent="0.3">
      <c r="A47" s="18"/>
      <c r="B47" s="2" t="s">
        <v>352</v>
      </c>
      <c r="C47" s="23"/>
      <c r="D47" s="23"/>
      <c r="E47" s="23"/>
    </row>
    <row r="48" spans="1:5" ht="15.6" x14ac:dyDescent="0.3">
      <c r="A48" s="18"/>
      <c r="B48" s="2" t="s">
        <v>218</v>
      </c>
      <c r="C48" s="23"/>
      <c r="D48" s="23"/>
      <c r="E48" s="23"/>
    </row>
    <row r="49" spans="1:5" ht="15.6" x14ac:dyDescent="0.3">
      <c r="A49" s="18"/>
      <c r="B49" s="2" t="s">
        <v>353</v>
      </c>
      <c r="C49" s="23"/>
      <c r="D49" s="23"/>
      <c r="E49" s="23"/>
    </row>
    <row r="50" spans="1:5" ht="15.6" x14ac:dyDescent="0.3">
      <c r="A50" s="18"/>
      <c r="B50" s="2" t="s">
        <v>349</v>
      </c>
      <c r="C50" s="23"/>
      <c r="D50" s="23"/>
      <c r="E50" s="23"/>
    </row>
    <row r="51" spans="1:5" ht="15.75" customHeight="1" x14ac:dyDescent="0.3">
      <c r="A51" s="2"/>
      <c r="B51" s="23"/>
      <c r="C51" s="23"/>
      <c r="D51" s="23"/>
      <c r="E51" s="23"/>
    </row>
    <row r="52" spans="1:5" ht="15.6" x14ac:dyDescent="0.3">
      <c r="A52" s="22" t="s">
        <v>219</v>
      </c>
      <c r="B52" s="23"/>
      <c r="C52" s="23"/>
      <c r="D52" s="23"/>
      <c r="E52" s="23"/>
    </row>
    <row r="53" spans="1:5" ht="12" customHeight="1" x14ac:dyDescent="0.3">
      <c r="A53" s="2"/>
      <c r="B53" s="23"/>
      <c r="C53" s="23"/>
      <c r="D53" s="23"/>
      <c r="E53" s="23"/>
    </row>
    <row r="54" spans="1:5" ht="15.6" x14ac:dyDescent="0.3">
      <c r="A54" s="22" t="s">
        <v>73</v>
      </c>
      <c r="B54" s="23"/>
      <c r="C54" s="23"/>
      <c r="D54" s="23"/>
      <c r="E54" s="23"/>
    </row>
  </sheetData>
  <mergeCells count="1">
    <mergeCell ref="A1:E1"/>
  </mergeCells>
  <phoneticPr fontId="6" type="noConversion"/>
  <pageMargins left="0.75" right="0.75" top="1" bottom="1" header="0.5" footer="0.5"/>
  <pageSetup scale="82"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25"/>
  <sheetViews>
    <sheetView workbookViewId="0"/>
  </sheetViews>
  <sheetFormatPr defaultColWidth="9.109375" defaultRowHeight="13.2" x14ac:dyDescent="0.25"/>
  <cols>
    <col min="1" max="1" width="27.44140625" style="26" customWidth="1"/>
    <col min="2" max="7" width="10" style="27" customWidth="1"/>
    <col min="8" max="8" width="10" style="26" customWidth="1"/>
    <col min="9" max="16384" width="9.109375" style="26"/>
  </cols>
  <sheetData>
    <row r="1" spans="1:8" s="137" customFormat="1" ht="16.05" customHeight="1" x14ac:dyDescent="0.25">
      <c r="A1" s="141" t="s">
        <v>82</v>
      </c>
      <c r="B1" s="136">
        <f>Schedule!B11</f>
        <v>36557</v>
      </c>
      <c r="C1" s="136">
        <f>Schedule!B15</f>
        <v>36564</v>
      </c>
      <c r="D1" s="136">
        <f>Schedule!B19</f>
        <v>36571</v>
      </c>
      <c r="E1" s="136">
        <f>Schedule!B23</f>
        <v>36578</v>
      </c>
      <c r="F1" s="136">
        <f>Schedule!B27</f>
        <v>36586</v>
      </c>
      <c r="G1" s="136">
        <f>Schedule!B31</f>
        <v>36600</v>
      </c>
      <c r="H1" s="136">
        <f>Schedule!B35</f>
        <v>36588</v>
      </c>
    </row>
    <row r="2" spans="1:8" s="140" customFormat="1" ht="16.05" customHeight="1" x14ac:dyDescent="0.25">
      <c r="A2" s="138"/>
      <c r="B2" s="139"/>
      <c r="C2" s="139"/>
      <c r="D2" s="139"/>
      <c r="E2" s="139"/>
      <c r="F2" s="139"/>
      <c r="G2" s="139"/>
      <c r="H2" s="138"/>
    </row>
    <row r="3" spans="1:8" s="140" customFormat="1" ht="16.05" customHeight="1" x14ac:dyDescent="0.25">
      <c r="A3" s="138" t="str">
        <f>TeamInfo!F21</f>
        <v>&lt;SD Name&gt;</v>
      </c>
      <c r="B3" s="139"/>
      <c r="C3" s="139"/>
      <c r="D3" s="139"/>
      <c r="E3" s="139"/>
      <c r="F3" s="139"/>
      <c r="G3" s="139"/>
      <c r="H3" s="138"/>
    </row>
    <row r="4" spans="1:8" s="140" customFormat="1" ht="16.05" customHeight="1" x14ac:dyDescent="0.25">
      <c r="A4" s="138" t="str">
        <f>IF(ISBLANK(TeamInfo!F22),"",TeamInfo!F22)</f>
        <v>&lt;SD2 Name&gt;</v>
      </c>
      <c r="B4" s="139"/>
      <c r="C4" s="139"/>
      <c r="D4" s="139"/>
      <c r="E4" s="139"/>
      <c r="F4" s="139"/>
      <c r="G4" s="139"/>
      <c r="H4" s="138"/>
    </row>
    <row r="5" spans="1:8" s="140" customFormat="1" ht="16.05" customHeight="1" x14ac:dyDescent="0.25">
      <c r="A5" s="138" t="str">
        <f>TeamInfo!F27</f>
        <v>&lt;LD Name&gt;</v>
      </c>
      <c r="B5" s="139"/>
      <c r="C5" s="139"/>
      <c r="D5" s="139"/>
      <c r="E5" s="139"/>
      <c r="F5" s="139"/>
      <c r="G5" s="139"/>
      <c r="H5" s="138"/>
    </row>
    <row r="6" spans="1:8" s="140" customFormat="1" ht="16.05" customHeight="1" x14ac:dyDescent="0.25">
      <c r="A6" s="138" t="str">
        <f>TeamInfo!F28</f>
        <v>&lt;ALD1 Name&gt;</v>
      </c>
      <c r="B6" s="139"/>
      <c r="C6" s="139"/>
      <c r="D6" s="139"/>
      <c r="E6" s="139"/>
      <c r="F6" s="139"/>
      <c r="G6" s="139"/>
      <c r="H6" s="138"/>
    </row>
    <row r="7" spans="1:8" s="140" customFormat="1" ht="16.05" customHeight="1" x14ac:dyDescent="0.25">
      <c r="A7" s="138" t="str">
        <f>TeamInfo!F29</f>
        <v>&lt;ALD2 Name&gt;</v>
      </c>
      <c r="B7" s="139"/>
      <c r="C7" s="139"/>
      <c r="D7" s="139"/>
      <c r="E7" s="139"/>
      <c r="F7" s="139"/>
      <c r="G7" s="139"/>
      <c r="H7" s="138"/>
    </row>
    <row r="8" spans="1:8" s="140" customFormat="1" ht="16.05" customHeight="1" x14ac:dyDescent="0.25">
      <c r="A8" s="138" t="str">
        <f>TeamInfo!F30</f>
        <v>&lt;ALD3 Name&gt;</v>
      </c>
      <c r="B8" s="139"/>
      <c r="C8" s="139"/>
      <c r="D8" s="139"/>
      <c r="E8" s="139"/>
      <c r="F8" s="139"/>
      <c r="G8" s="139"/>
      <c r="H8" s="138"/>
    </row>
    <row r="9" spans="1:8" s="140" customFormat="1" ht="16.05" customHeight="1" x14ac:dyDescent="0.25">
      <c r="A9" s="138" t="str">
        <f>TeamInfo!F31</f>
        <v>&lt;BR Name&gt;</v>
      </c>
      <c r="B9" s="139"/>
      <c r="C9" s="139"/>
      <c r="D9" s="139"/>
      <c r="E9" s="139"/>
      <c r="F9" s="139"/>
      <c r="G9" s="139"/>
      <c r="H9" s="138"/>
    </row>
    <row r="10" spans="1:8" s="140" customFormat="1" ht="16.05" customHeight="1" x14ac:dyDescent="0.25">
      <c r="A10" s="138" t="str">
        <f>TeamInfo!F32</f>
        <v>&lt;TD Name&gt;</v>
      </c>
      <c r="B10" s="139"/>
      <c r="C10" s="139"/>
      <c r="D10" s="139"/>
      <c r="E10" s="139"/>
      <c r="F10" s="139"/>
      <c r="G10" s="139"/>
      <c r="H10" s="138"/>
    </row>
    <row r="11" spans="1:8" s="140" customFormat="1" ht="16.05" customHeight="1" x14ac:dyDescent="0.25">
      <c r="A11" s="138" t="str">
        <f>IF(ISBLANK(TeamInfo!F33),"",TeamInfo!F33)</f>
        <v>&lt;TD2 Name&gt;</v>
      </c>
      <c r="B11" s="139"/>
      <c r="C11" s="139"/>
      <c r="D11" s="139"/>
      <c r="E11" s="139"/>
      <c r="F11" s="139"/>
      <c r="G11" s="139"/>
      <c r="H11" s="138"/>
    </row>
    <row r="12" spans="1:8" s="140" customFormat="1" ht="16.05" customHeight="1" x14ac:dyDescent="0.25">
      <c r="A12" s="138" t="str">
        <f>TeamInfo!F34</f>
        <v>&lt;MD Name&gt;</v>
      </c>
      <c r="B12" s="139"/>
      <c r="C12" s="139"/>
      <c r="D12" s="139"/>
      <c r="E12" s="139"/>
      <c r="F12" s="139"/>
      <c r="G12" s="139"/>
      <c r="H12" s="138"/>
    </row>
    <row r="13" spans="1:8" s="140" customFormat="1" ht="16.05" customHeight="1" x14ac:dyDescent="0.25">
      <c r="A13" s="138" t="str">
        <f>IF(ISBLANK(TeamInfo!F35),"",TeamInfo!F35)</f>
        <v>&lt;MD2 Name&gt;</v>
      </c>
      <c r="B13" s="139"/>
      <c r="C13" s="139"/>
      <c r="D13" s="139"/>
      <c r="E13" s="139"/>
      <c r="F13" s="139"/>
      <c r="G13" s="139"/>
      <c r="H13" s="138"/>
    </row>
    <row r="14" spans="1:8" s="140" customFormat="1" ht="16.05" customHeight="1" x14ac:dyDescent="0.25">
      <c r="A14" s="138" t="str">
        <f>TeamInfo!F36</f>
        <v>&lt;TL1 Name&gt;</v>
      </c>
      <c r="B14" s="139"/>
      <c r="C14" s="139"/>
      <c r="D14" s="139"/>
      <c r="E14" s="139"/>
      <c r="F14" s="139"/>
      <c r="G14" s="139"/>
      <c r="H14" s="138"/>
    </row>
    <row r="15" spans="1:8" s="140" customFormat="1" ht="16.05" customHeight="1" x14ac:dyDescent="0.25">
      <c r="A15" s="138" t="str">
        <f>TeamInfo!F37</f>
        <v>&lt;ATL1 Name&gt;</v>
      </c>
      <c r="B15" s="139"/>
      <c r="C15" s="139"/>
      <c r="D15" s="139"/>
      <c r="E15" s="139"/>
      <c r="F15" s="139"/>
      <c r="G15" s="139"/>
      <c r="H15" s="138"/>
    </row>
    <row r="16" spans="1:8" s="140" customFormat="1" ht="16.05" customHeight="1" x14ac:dyDescent="0.25">
      <c r="A16" s="138" t="str">
        <f>TeamInfo!F38</f>
        <v>&lt;TL2 Name&gt;</v>
      </c>
      <c r="B16" s="139"/>
      <c r="C16" s="139"/>
      <c r="D16" s="139"/>
      <c r="E16" s="139"/>
      <c r="F16" s="139"/>
      <c r="G16" s="139"/>
      <c r="H16" s="138"/>
    </row>
    <row r="17" spans="1:8" s="140" customFormat="1" ht="16.05" customHeight="1" x14ac:dyDescent="0.25">
      <c r="A17" s="138" t="str">
        <f>TeamInfo!F39</f>
        <v>&lt;ATL2 Name&gt;</v>
      </c>
      <c r="B17" s="139"/>
      <c r="C17" s="139"/>
      <c r="D17" s="139"/>
      <c r="E17" s="139"/>
      <c r="F17" s="139"/>
      <c r="G17" s="139"/>
      <c r="H17" s="138"/>
    </row>
    <row r="18" spans="1:8" s="140" customFormat="1" ht="16.05" customHeight="1" x14ac:dyDescent="0.25">
      <c r="A18" s="138" t="str">
        <f>TeamInfo!F40</f>
        <v>&lt;TL3 Name&gt;</v>
      </c>
      <c r="B18" s="139"/>
      <c r="C18" s="139"/>
      <c r="D18" s="139"/>
      <c r="E18" s="139"/>
      <c r="F18" s="139"/>
      <c r="G18" s="139"/>
      <c r="H18" s="138"/>
    </row>
    <row r="19" spans="1:8" s="140" customFormat="1" ht="16.05" customHeight="1" x14ac:dyDescent="0.25">
      <c r="A19" s="138" t="str">
        <f>TeamInfo!F41</f>
        <v>&lt;ATL3 Name&gt;</v>
      </c>
      <c r="B19" s="139"/>
      <c r="C19" s="139"/>
      <c r="D19" s="139"/>
      <c r="E19" s="139"/>
      <c r="F19" s="139"/>
      <c r="G19" s="139"/>
      <c r="H19" s="138"/>
    </row>
    <row r="20" spans="1:8" s="140" customFormat="1" ht="16.05" customHeight="1" x14ac:dyDescent="0.25">
      <c r="A20" s="138" t="str">
        <f>TeamInfo!F42</f>
        <v>&lt;TL4 Name&gt;</v>
      </c>
      <c r="B20" s="139"/>
      <c r="C20" s="139"/>
      <c r="D20" s="139"/>
      <c r="E20" s="139"/>
      <c r="F20" s="139"/>
      <c r="G20" s="139"/>
      <c r="H20" s="138"/>
    </row>
    <row r="21" spans="1:8" s="140" customFormat="1" ht="16.05" customHeight="1" x14ac:dyDescent="0.25">
      <c r="A21" s="138" t="str">
        <f>TeamInfo!F43</f>
        <v>&lt;ATL4 Name&gt;</v>
      </c>
      <c r="B21" s="139"/>
      <c r="C21" s="139"/>
      <c r="D21" s="139"/>
      <c r="E21" s="139"/>
      <c r="F21" s="139"/>
      <c r="G21" s="139"/>
      <c r="H21" s="138"/>
    </row>
    <row r="22" spans="1:8" s="140" customFormat="1" ht="16.05" customHeight="1" x14ac:dyDescent="0.25">
      <c r="A22" s="138" t="str">
        <f>TeamInfo!F44</f>
        <v>&lt;TL5 Name&gt;</v>
      </c>
      <c r="B22" s="139"/>
      <c r="C22" s="139"/>
      <c r="D22" s="139"/>
      <c r="E22" s="139"/>
      <c r="F22" s="139"/>
      <c r="G22" s="139"/>
      <c r="H22" s="138"/>
    </row>
    <row r="23" spans="1:8" s="140" customFormat="1" ht="16.05" customHeight="1" x14ac:dyDescent="0.25">
      <c r="A23" s="138" t="str">
        <f>TeamInfo!F45</f>
        <v>&lt;ATL5 Name&gt;</v>
      </c>
      <c r="B23" s="139"/>
      <c r="C23" s="139"/>
      <c r="D23" s="139"/>
      <c r="E23" s="139"/>
      <c r="F23" s="139"/>
      <c r="G23" s="139"/>
      <c r="H23" s="138"/>
    </row>
    <row r="24" spans="1:8" s="140" customFormat="1" ht="16.05" customHeight="1" x14ac:dyDescent="0.25">
      <c r="A24" s="138" t="str">
        <f>TeamInfo!F46</f>
        <v>&lt;TL6 Name&gt;</v>
      </c>
      <c r="B24" s="139"/>
      <c r="C24" s="139"/>
      <c r="D24" s="139"/>
      <c r="E24" s="139"/>
      <c r="F24" s="139"/>
      <c r="G24" s="139"/>
      <c r="H24" s="138"/>
    </row>
    <row r="25" spans="1:8" s="140" customFormat="1" ht="16.05" customHeight="1" x14ac:dyDescent="0.25">
      <c r="A25" s="138" t="str">
        <f>TeamInfo!F47</f>
        <v>&lt;TL7 Name&gt;</v>
      </c>
      <c r="B25" s="139"/>
      <c r="C25" s="139"/>
      <c r="D25" s="139"/>
      <c r="E25" s="139"/>
      <c r="F25" s="139"/>
      <c r="G25" s="139"/>
      <c r="H25" s="138"/>
    </row>
  </sheetData>
  <phoneticPr fontId="6" type="noConversion"/>
  <pageMargins left="0.75" right="0.5" top="1" bottom="0.5" header="0.5" footer="0.5"/>
  <pageSetup scale="125"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O30"/>
  <sheetViews>
    <sheetView workbookViewId="0"/>
  </sheetViews>
  <sheetFormatPr defaultColWidth="9.109375" defaultRowHeight="13.8" x14ac:dyDescent="0.25"/>
  <cols>
    <col min="1" max="1" width="22.109375" style="142" customWidth="1"/>
    <col min="2" max="2" width="12" style="142" customWidth="1"/>
    <col min="3" max="3" width="14.33203125" style="142" customWidth="1"/>
    <col min="4" max="4" width="23.109375" style="142" customWidth="1"/>
    <col min="5" max="5" width="18" style="143" customWidth="1"/>
    <col min="6" max="6" width="19.109375" style="142" customWidth="1"/>
    <col min="7" max="7" width="23.88671875" style="142" customWidth="1"/>
    <col min="8" max="8" width="15" style="142" customWidth="1"/>
    <col min="9" max="9" width="5.44140625" style="144" customWidth="1"/>
    <col min="10" max="10" width="7.88671875" style="144" customWidth="1"/>
    <col min="11" max="11" width="14.33203125" style="142" customWidth="1"/>
    <col min="12" max="12" width="30.44140625" style="142" customWidth="1"/>
    <col min="13" max="15" width="35.6640625" style="142" customWidth="1"/>
    <col min="16" max="16384" width="9.109375" style="142"/>
  </cols>
  <sheetData>
    <row r="1" spans="1:15" ht="3.75" customHeight="1" x14ac:dyDescent="0.3">
      <c r="M1" s="228"/>
      <c r="N1" s="228"/>
      <c r="O1" s="228"/>
    </row>
    <row r="2" spans="1:15" s="57" customFormat="1" ht="33.75" customHeight="1" x14ac:dyDescent="0.3">
      <c r="A2" s="229"/>
      <c r="B2" s="229"/>
      <c r="C2" s="229"/>
      <c r="D2" s="281" t="str">
        <f>"New-Ark Area "&amp;TeamInfo!$D$5&amp;" Team Roster"</f>
        <v>New-Ark Area Wo/Men's Walk #NN Team Roster</v>
      </c>
      <c r="E2" s="281"/>
      <c r="F2" s="281"/>
      <c r="G2" s="281"/>
      <c r="H2" s="281"/>
      <c r="I2" s="281"/>
      <c r="J2" s="281"/>
      <c r="K2" s="281"/>
      <c r="L2" s="281"/>
      <c r="M2" s="92"/>
      <c r="N2" s="92"/>
      <c r="O2" s="92"/>
    </row>
    <row r="3" spans="1:15" s="56" customFormat="1" ht="30" customHeight="1" x14ac:dyDescent="0.25">
      <c r="A3" s="30" t="s">
        <v>451</v>
      </c>
      <c r="B3" s="30" t="s">
        <v>452</v>
      </c>
      <c r="C3" s="30" t="s">
        <v>453</v>
      </c>
      <c r="D3" s="145" t="s">
        <v>157</v>
      </c>
      <c r="E3" s="145" t="s">
        <v>357</v>
      </c>
      <c r="F3" s="145" t="s">
        <v>82</v>
      </c>
      <c r="G3" s="145" t="s">
        <v>316</v>
      </c>
      <c r="H3" s="145" t="s">
        <v>317</v>
      </c>
      <c r="I3" s="145" t="s">
        <v>318</v>
      </c>
      <c r="J3" s="145" t="s">
        <v>319</v>
      </c>
      <c r="K3" s="145" t="s">
        <v>320</v>
      </c>
      <c r="L3" s="145" t="s">
        <v>321</v>
      </c>
      <c r="M3" s="30" t="s">
        <v>322</v>
      </c>
      <c r="N3" s="30" t="s">
        <v>323</v>
      </c>
      <c r="O3" s="30" t="s">
        <v>324</v>
      </c>
    </row>
    <row r="4" spans="1:15" s="129" customFormat="1" ht="21.9" customHeight="1" x14ac:dyDescent="0.25">
      <c r="A4" s="56" t="str">
        <f>IF(ISBLANK(TeamInfo!$A$21),"",TeamInfo!$A$21)</f>
        <v>Spiritual Director</v>
      </c>
      <c r="B4" s="230" t="str">
        <f>IF(ISBLANK(TeamInfo!$B$21),"",TeamInfo!$B$21)</f>
        <v>&lt;SD</v>
      </c>
      <c r="C4" s="230" t="str">
        <f>IF(ISBLANK(TeamInfo!$C$21),"",TeamInfo!$C$21)</f>
        <v>Name&gt;</v>
      </c>
      <c r="D4" s="146" t="str">
        <f>IF(ISBLANK(TeamInfo!$D$21),"",TeamInfo!$D$21)</f>
        <v>Means of Grace</v>
      </c>
      <c r="E4" s="147" t="str">
        <f>IF(ISBLANK(TeamInfo!$E$21),"",TeamInfo!$E$21)</f>
        <v>Arrears - SD</v>
      </c>
      <c r="F4" s="148" t="str">
        <f t="shared" ref="F4:F30" si="0">IF(ISBLANK($B4),"",$B4&amp;" "&amp;$C4)</f>
        <v>&lt;SD Name&gt;</v>
      </c>
      <c r="G4" s="148" t="str">
        <f>IF(ISBLANK(TeamInfo!$G$21),"",TeamInfo!$G$21)</f>
        <v/>
      </c>
      <c r="H4" s="148" t="str">
        <f>IF(ISBLANK(TeamInfo!$H$21),"",TeamInfo!$H$21)</f>
        <v/>
      </c>
      <c r="I4" s="147" t="str">
        <f>IF(ISBLANK(TeamInfo!$I$21),"",TeamInfo!$I$21)</f>
        <v/>
      </c>
      <c r="J4" s="147" t="str">
        <f>IF(ISBLANK(TeamInfo!$J$21),"",TeamInfo!$J$21)</f>
        <v/>
      </c>
      <c r="K4" s="147" t="str">
        <f>IF(ISBLANK(TeamInfo!$K$21),"",TeamInfo!$K$21)</f>
        <v/>
      </c>
      <c r="L4" s="149" t="str">
        <f>IF(ISBLANK(TeamInfo!$L$21),"",TeamInfo!$L$21)</f>
        <v/>
      </c>
      <c r="M4" s="231" t="str">
        <f>IF(ISBLANK(TeamInfo!$M$21),"",TeamInfo!$M$21)</f>
        <v/>
      </c>
      <c r="N4" s="231" t="str">
        <f>IF(ISBLANK(TeamInfo!$N$21),"",TeamInfo!$N$21)</f>
        <v/>
      </c>
      <c r="O4" s="231" t="str">
        <f>IF(ISBLANK(TeamInfo!$O$21),"",TeamInfo!$O$21)</f>
        <v/>
      </c>
    </row>
    <row r="5" spans="1:15" s="129" customFormat="1" ht="21.9" customHeight="1" x14ac:dyDescent="0.25">
      <c r="A5" s="56" t="str">
        <f>IF(ISBLANK(TeamInfo!$A$22),"",TeamInfo!$A$22)</f>
        <v>Spiritual Director 2</v>
      </c>
      <c r="B5" s="230" t="str">
        <f>IF(ISBLANK(TeamInfo!$B$22),"",TeamInfo!$B$22)</f>
        <v>&lt;SD2</v>
      </c>
      <c r="C5" s="230" t="str">
        <f>IF(ISBLANK(TeamInfo!$C$22),"",TeamInfo!$C$22)</f>
        <v>Name&gt;</v>
      </c>
      <c r="D5" s="146" t="str">
        <f>IF(ISBLANK(TeamInfo!$D$22),"",TeamInfo!$D$22)</f>
        <v/>
      </c>
      <c r="E5" s="147" t="str">
        <f>IF(ISBLANK(TeamInfo!$E$22),"",TeamInfo!$E$22)</f>
        <v>Arrears - Asst. SD</v>
      </c>
      <c r="F5" s="148" t="str">
        <f t="shared" si="0"/>
        <v>&lt;SD2 Name&gt;</v>
      </c>
      <c r="G5" s="148" t="str">
        <f>IF(ISBLANK(TeamInfo!$G$22),"",TeamInfo!$G$22)</f>
        <v/>
      </c>
      <c r="H5" s="148" t="str">
        <f>IF(ISBLANK(TeamInfo!$H$22),"",TeamInfo!$H$22)</f>
        <v/>
      </c>
      <c r="I5" s="147" t="str">
        <f>IF(ISBLANK(TeamInfo!$I$22),"",TeamInfo!$I$22)</f>
        <v/>
      </c>
      <c r="J5" s="147" t="str">
        <f>IF(ISBLANK(TeamInfo!$J$22),"",TeamInfo!$J$22)</f>
        <v/>
      </c>
      <c r="K5" s="147" t="str">
        <f>IF(ISBLANK(TeamInfo!$K$22),"",TeamInfo!$K$22)</f>
        <v/>
      </c>
      <c r="L5" s="149" t="str">
        <f>IF(ISBLANK(TeamInfo!$L$22),"",TeamInfo!$L$22)</f>
        <v/>
      </c>
      <c r="M5" s="231" t="str">
        <f>IF(ISBLANK(TeamInfo!$M$22),"",TeamInfo!$M$22)</f>
        <v/>
      </c>
      <c r="N5" s="231" t="str">
        <f>IF(ISBLANK(TeamInfo!$N$22),"",TeamInfo!$N$22)</f>
        <v/>
      </c>
      <c r="O5" s="231" t="str">
        <f>IF(ISBLANK(TeamInfo!$O$22),"",TeamInfo!$O$22)</f>
        <v/>
      </c>
    </row>
    <row r="6" spans="1:15" s="129" customFormat="1" ht="21.9" customHeight="1" x14ac:dyDescent="0.25">
      <c r="A6" s="56" t="str">
        <f>IF(ISBLANK(TeamInfo!$A$23),"",TeamInfo!$A$23)</f>
        <v>Clergy - Previenient</v>
      </c>
      <c r="B6" s="230" t="str">
        <f>IF(ISBLANK(TeamInfo!$B$23),"",TeamInfo!$B$23)</f>
        <v xml:space="preserve">TBD - </v>
      </c>
      <c r="C6" s="230" t="str">
        <f>IF(ISBLANK(TeamInfo!$C$23),"",TeamInfo!$C$23)</f>
        <v>Prevenient</v>
      </c>
      <c r="D6" s="146" t="str">
        <f>IF(ISBLANK(TeamInfo!$D$23),"",TeamInfo!$D$23)</f>
        <v>Prevenient Grace</v>
      </c>
      <c r="E6" s="147" t="str">
        <f>IF(ISBLANK(TeamInfo!$E$23),"",TeamInfo!$E$23)</f>
        <v>Clergy</v>
      </c>
      <c r="F6" s="148" t="str">
        <f t="shared" si="0"/>
        <v>TBD -  Prevenient</v>
      </c>
      <c r="G6" s="148" t="str">
        <f>IF(ISBLANK(TeamInfo!$G$23),"",TeamInfo!$G$23)</f>
        <v/>
      </c>
      <c r="H6" s="148" t="str">
        <f>IF(ISBLANK(TeamInfo!$H$23),"",TeamInfo!$H$23)</f>
        <v/>
      </c>
      <c r="I6" s="147" t="str">
        <f>IF(ISBLANK(TeamInfo!$I$23),"",TeamInfo!$I$23)</f>
        <v/>
      </c>
      <c r="J6" s="147" t="str">
        <f>IF(ISBLANK(TeamInfo!$J$23),"",TeamInfo!$J$23)</f>
        <v/>
      </c>
      <c r="K6" s="147" t="str">
        <f>IF(ISBLANK(TeamInfo!$K$23),"",TeamInfo!$K$23)</f>
        <v/>
      </c>
      <c r="L6" s="149" t="str">
        <f>IF(ISBLANK(TeamInfo!$L$23),"",TeamInfo!$L$23)</f>
        <v/>
      </c>
      <c r="M6" s="231" t="str">
        <f>IF(ISBLANK(TeamInfo!$M$23),"",TeamInfo!$M$23)</f>
        <v/>
      </c>
      <c r="N6" s="231" t="str">
        <f>IF(ISBLANK(TeamInfo!$N$23),"",TeamInfo!$N$23)</f>
        <v/>
      </c>
      <c r="O6" s="231" t="str">
        <f>IF(ISBLANK(TeamInfo!$O$23),"",TeamInfo!$O$23)</f>
        <v/>
      </c>
    </row>
    <row r="7" spans="1:15" s="129" customFormat="1" ht="21.9" customHeight="1" x14ac:dyDescent="0.25">
      <c r="A7" s="56" t="str">
        <f>IF(ISBLANK(TeamInfo!$A$24),"",TeamInfo!$A$24)</f>
        <v>Clergy - Justifying</v>
      </c>
      <c r="B7" s="230" t="str">
        <f>IF(ISBLANK(TeamInfo!$B$24),"",TeamInfo!$B$24)</f>
        <v xml:space="preserve">TBD - </v>
      </c>
      <c r="C7" s="230" t="str">
        <f>IF(ISBLANK(TeamInfo!$C$24),"",TeamInfo!$C$24)</f>
        <v>Justifying</v>
      </c>
      <c r="D7" s="146" t="str">
        <f>IF(ISBLANK(TeamInfo!$D$24),"",TeamInfo!$D$24)</f>
        <v>Justifying Grace</v>
      </c>
      <c r="E7" s="147" t="str">
        <f>IF(ISBLANK(TeamInfo!$E$24),"",TeamInfo!$E$24)</f>
        <v>Clergy</v>
      </c>
      <c r="F7" s="148" t="str">
        <f t="shared" si="0"/>
        <v>TBD -  Justifying</v>
      </c>
      <c r="G7" s="148" t="str">
        <f>IF(ISBLANK(TeamInfo!$G$24),"",TeamInfo!$G$24)</f>
        <v/>
      </c>
      <c r="H7" s="148" t="str">
        <f>IF(ISBLANK(TeamInfo!$H$24),"",TeamInfo!$H$24)</f>
        <v/>
      </c>
      <c r="I7" s="147" t="str">
        <f>IF(ISBLANK(TeamInfo!$I$24),"",TeamInfo!$I$24)</f>
        <v/>
      </c>
      <c r="J7" s="147" t="str">
        <f>IF(ISBLANK(TeamInfo!$J$24),"",TeamInfo!$J$24)</f>
        <v/>
      </c>
      <c r="K7" s="147" t="str">
        <f>IF(ISBLANK(TeamInfo!$K$24),"",TeamInfo!$K$24)</f>
        <v/>
      </c>
      <c r="L7" s="149" t="str">
        <f>IF(ISBLANK(TeamInfo!$L$24),"",TeamInfo!$L$24)</f>
        <v/>
      </c>
      <c r="M7" s="231" t="str">
        <f>IF(ISBLANK(TeamInfo!$M$24),"",TeamInfo!$M$24)</f>
        <v/>
      </c>
      <c r="N7" s="231" t="str">
        <f>IF(ISBLANK(TeamInfo!$N$24),"",TeamInfo!$N$24)</f>
        <v/>
      </c>
      <c r="O7" s="231" t="str">
        <f>IF(ISBLANK(TeamInfo!$O$24),"",TeamInfo!$O$24)</f>
        <v/>
      </c>
    </row>
    <row r="8" spans="1:15" s="129" customFormat="1" ht="21.9" customHeight="1" x14ac:dyDescent="0.25">
      <c r="A8" s="56" t="str">
        <f>IF(ISBLANK(TeamInfo!$A$25),"",TeamInfo!$A$25)</f>
        <v>Clergy - Obstacles</v>
      </c>
      <c r="B8" s="230" t="str">
        <f>IF(ISBLANK(TeamInfo!$B$25),"",TeamInfo!$B$25)</f>
        <v xml:space="preserve">TBD - </v>
      </c>
      <c r="C8" s="230" t="str">
        <f>IF(ISBLANK(TeamInfo!$C$25),"",TeamInfo!$C$25)</f>
        <v>Obstacles</v>
      </c>
      <c r="D8" s="146" t="str">
        <f>IF(ISBLANK(TeamInfo!$D$25),"",TeamInfo!$D$25)</f>
        <v>Obstacles to Grace</v>
      </c>
      <c r="E8" s="147" t="str">
        <f>IF(ISBLANK(TeamInfo!$E$25),"",TeamInfo!$E$25)</f>
        <v>Clergy</v>
      </c>
      <c r="F8" s="148" t="str">
        <f t="shared" si="0"/>
        <v>TBD -  Obstacles</v>
      </c>
      <c r="G8" s="148" t="str">
        <f>IF(ISBLANK(TeamInfo!$G$25),"",TeamInfo!$G$25)</f>
        <v/>
      </c>
      <c r="H8" s="148" t="str">
        <f>IF(ISBLANK(TeamInfo!$H$25),"",TeamInfo!$H$25)</f>
        <v/>
      </c>
      <c r="I8" s="147" t="str">
        <f>IF(ISBLANK(TeamInfo!$I$25),"",TeamInfo!$I$25)</f>
        <v/>
      </c>
      <c r="J8" s="147" t="str">
        <f>IF(ISBLANK(TeamInfo!$J$25),"",TeamInfo!$J$25)</f>
        <v/>
      </c>
      <c r="K8" s="147" t="str">
        <f>IF(ISBLANK(TeamInfo!$K$25),"",TeamInfo!$K$25)</f>
        <v/>
      </c>
      <c r="L8" s="149" t="str">
        <f>IF(ISBLANK(TeamInfo!$L$25),"",TeamInfo!$L$25)</f>
        <v/>
      </c>
      <c r="M8" s="231" t="str">
        <f>IF(ISBLANK(TeamInfo!$M$25),"",TeamInfo!$M$25)</f>
        <v/>
      </c>
      <c r="N8" s="231" t="str">
        <f>IF(ISBLANK(TeamInfo!$N$25),"",TeamInfo!$N$25)</f>
        <v/>
      </c>
      <c r="O8" s="231" t="str">
        <f>IF(ISBLANK(TeamInfo!$O$25),"",TeamInfo!$O$25)</f>
        <v/>
      </c>
    </row>
    <row r="9" spans="1:15" s="129" customFormat="1" ht="21.9" customHeight="1" x14ac:dyDescent="0.25">
      <c r="A9" s="56" t="str">
        <f>IF(ISBLANK(TeamInfo!$A$26),"",TeamInfo!$A$26)</f>
        <v>Clergy - Sanctifying</v>
      </c>
      <c r="B9" s="230" t="str">
        <f>IF(ISBLANK(TeamInfo!$B$26),"",TeamInfo!$B$26)</f>
        <v xml:space="preserve">TBD - </v>
      </c>
      <c r="C9" s="230" t="str">
        <f>IF(ISBLANK(TeamInfo!$C$26),"",TeamInfo!$C$26)</f>
        <v>Sanctifying</v>
      </c>
      <c r="D9" s="146" t="str">
        <f>IF(ISBLANK(TeamInfo!$D$26),"",TeamInfo!$D$26)</f>
        <v>Sanctifying Grace</v>
      </c>
      <c r="E9" s="147" t="str">
        <f>IF(ISBLANK(TeamInfo!$E$26),"",TeamInfo!$E$26)</f>
        <v>Clergy</v>
      </c>
      <c r="F9" s="148" t="str">
        <f t="shared" si="0"/>
        <v>TBD -  Sanctifying</v>
      </c>
      <c r="G9" s="148" t="str">
        <f>IF(ISBLANK(TeamInfo!$G$26),"",TeamInfo!$G$26)</f>
        <v/>
      </c>
      <c r="H9" s="148" t="str">
        <f>IF(ISBLANK(TeamInfo!$H$26),"",TeamInfo!$H$26)</f>
        <v/>
      </c>
      <c r="I9" s="147" t="str">
        <f>IF(ISBLANK(TeamInfo!$I$26),"",TeamInfo!$I$26)</f>
        <v/>
      </c>
      <c r="J9" s="147" t="str">
        <f>IF(ISBLANK(TeamInfo!$J$26),"",TeamInfo!$J$26)</f>
        <v/>
      </c>
      <c r="K9" s="147" t="str">
        <f>IF(ISBLANK(TeamInfo!$K$26),"",TeamInfo!$K$26)</f>
        <v/>
      </c>
      <c r="L9" s="149" t="str">
        <f>IF(ISBLANK(TeamInfo!$L$26),"",TeamInfo!$L$26)</f>
        <v/>
      </c>
      <c r="M9" s="231" t="str">
        <f>IF(ISBLANK(TeamInfo!$M$26),"",TeamInfo!$M$26)</f>
        <v/>
      </c>
      <c r="N9" s="231" t="str">
        <f>IF(ISBLANK(TeamInfo!$N$26),"",TeamInfo!$N$26)</f>
        <v/>
      </c>
      <c r="O9" s="231" t="str">
        <f>IF(ISBLANK(TeamInfo!$O$26),"",TeamInfo!$O$26)</f>
        <v/>
      </c>
    </row>
    <row r="10" spans="1:15" s="129" customFormat="1" ht="21.9" customHeight="1" x14ac:dyDescent="0.25">
      <c r="A10" s="56" t="str">
        <f>IF(ISBLANK(TeamInfo!$A$27),"",TeamInfo!$A$27)</f>
        <v>Lay Director</v>
      </c>
      <c r="B10" s="230" t="str">
        <f>IF(ISBLANK(TeamInfo!$B$27),"",TeamInfo!$B$27)</f>
        <v>&lt;LD</v>
      </c>
      <c r="C10" s="230" t="str">
        <f>IF(ISBLANK(TeamInfo!$C$27),"",TeamInfo!$C$27)</f>
        <v>Name&gt;</v>
      </c>
      <c r="D10" s="146" t="str">
        <f>IF(ISBLANK(TeamInfo!$D$27),"",TeamInfo!$D$27)</f>
        <v>Perseverance</v>
      </c>
      <c r="E10" s="147" t="str">
        <f>IF(ISBLANK(TeamInfo!$E$27),"",TeamInfo!$E$27)</f>
        <v>Arrears - LD</v>
      </c>
      <c r="F10" s="148" t="str">
        <f t="shared" si="0"/>
        <v>&lt;LD Name&gt;</v>
      </c>
      <c r="G10" s="148" t="str">
        <f>IF(ISBLANK(TeamInfo!$G$27),"",TeamInfo!$G$27)</f>
        <v/>
      </c>
      <c r="H10" s="148" t="str">
        <f>IF(ISBLANK(TeamInfo!$H$27),"",TeamInfo!$H$27)</f>
        <v/>
      </c>
      <c r="I10" s="147" t="str">
        <f>IF(ISBLANK(TeamInfo!$I$27),"",TeamInfo!$I$27)</f>
        <v/>
      </c>
      <c r="J10" s="147" t="str">
        <f>IF(ISBLANK(TeamInfo!$J$27),"",TeamInfo!$J$27)</f>
        <v/>
      </c>
      <c r="K10" s="147" t="str">
        <f>IF(ISBLANK(TeamInfo!$K$27),"",TeamInfo!$K$27)</f>
        <v/>
      </c>
      <c r="L10" s="149" t="str">
        <f>IF(ISBLANK(TeamInfo!$L$27),"",TeamInfo!$L$27)</f>
        <v/>
      </c>
      <c r="M10" s="231" t="str">
        <f>IF(ISBLANK(TeamInfo!$M$27),"",TeamInfo!$M$27)</f>
        <v/>
      </c>
      <c r="N10" s="231" t="str">
        <f>IF(ISBLANK(TeamInfo!$N$27),"",TeamInfo!$N$27)</f>
        <v/>
      </c>
      <c r="O10" s="231" t="str">
        <f>IF(ISBLANK(TeamInfo!$O$27),"",TeamInfo!$O$27)</f>
        <v/>
      </c>
    </row>
    <row r="11" spans="1:15" s="129" customFormat="1" ht="21.9" customHeight="1" x14ac:dyDescent="0.25">
      <c r="A11" s="56" t="str">
        <f>IF(ISBLANK(TeamInfo!$A$28),"",TeamInfo!$A$28)</f>
        <v>Experienced ALD</v>
      </c>
      <c r="B11" s="230" t="str">
        <f>IF(ISBLANK(TeamInfo!$B$28),"",TeamInfo!$B$28)</f>
        <v>&lt;ALD1</v>
      </c>
      <c r="C11" s="230" t="str">
        <f>IF(ISBLANK(TeamInfo!$C$28),"",TeamInfo!$C$28)</f>
        <v>Name&gt;</v>
      </c>
      <c r="D11" s="146" t="str">
        <f>IF(ISBLANK(TeamInfo!$D$28),"",TeamInfo!$D$28)</f>
        <v>Fourth Day</v>
      </c>
      <c r="E11" s="147" t="str">
        <f>IF(ISBLANK(TeamInfo!$E$28),"",TeamInfo!$E$28)</f>
        <v>Arrears - ALD</v>
      </c>
      <c r="F11" s="148" t="str">
        <f t="shared" si="0"/>
        <v>&lt;ALD1 Name&gt;</v>
      </c>
      <c r="G11" s="148" t="str">
        <f>IF(ISBLANK(TeamInfo!$G$28),"",TeamInfo!$G$28)</f>
        <v/>
      </c>
      <c r="H11" s="148" t="str">
        <f>IF(ISBLANK(TeamInfo!$H$28),"",TeamInfo!$H$28)</f>
        <v/>
      </c>
      <c r="I11" s="147" t="str">
        <f>IF(ISBLANK(TeamInfo!$I$28),"",TeamInfo!$I$28)</f>
        <v/>
      </c>
      <c r="J11" s="147" t="str">
        <f>IF(ISBLANK(TeamInfo!$J$28),"",TeamInfo!$J$28)</f>
        <v/>
      </c>
      <c r="K11" s="147" t="str">
        <f>IF(ISBLANK(TeamInfo!$K$28),"",TeamInfo!$K$28)</f>
        <v/>
      </c>
      <c r="L11" s="149" t="str">
        <f>IF(ISBLANK(TeamInfo!$L$28),"",TeamInfo!$L$28)</f>
        <v/>
      </c>
      <c r="M11" s="231" t="str">
        <f>IF(ISBLANK(TeamInfo!$M$28),"",TeamInfo!$M$28)</f>
        <v/>
      </c>
      <c r="N11" s="231" t="str">
        <f>IF(ISBLANK(TeamInfo!$N$28),"",TeamInfo!$N$28)</f>
        <v/>
      </c>
      <c r="O11" s="231" t="str">
        <f>IF(ISBLANK(TeamInfo!$O$28),"",TeamInfo!$O$28)</f>
        <v/>
      </c>
    </row>
    <row r="12" spans="1:15" s="129" customFormat="1" ht="21.9" customHeight="1" x14ac:dyDescent="0.25">
      <c r="A12" s="56" t="str">
        <f>IF(ISBLANK(TeamInfo!$A$29),"",TeamInfo!$A$29)</f>
        <v>Priority Talk</v>
      </c>
      <c r="B12" s="230" t="str">
        <f>IF(ISBLANK(TeamInfo!$B$29),"",TeamInfo!$B$29)</f>
        <v>&lt;ALD2</v>
      </c>
      <c r="C12" s="230" t="str">
        <f>IF(ISBLANK(TeamInfo!$C$29),"",TeamInfo!$C$29)</f>
        <v>Name&gt;</v>
      </c>
      <c r="D12" s="146" t="str">
        <f>IF(ISBLANK(TeamInfo!$D$29),"",TeamInfo!$D$29)</f>
        <v>Priority</v>
      </c>
      <c r="E12" s="147" t="str">
        <f>IF(ISBLANK(TeamInfo!$E$29),"",TeamInfo!$E$29)</f>
        <v>Arrears - ALD</v>
      </c>
      <c r="F12" s="148" t="str">
        <f t="shared" si="0"/>
        <v>&lt;ALD2 Name&gt;</v>
      </c>
      <c r="G12" s="148" t="str">
        <f>IF(ISBLANK(TeamInfo!$G$29),"",TeamInfo!$G$29)</f>
        <v/>
      </c>
      <c r="H12" s="148" t="str">
        <f>IF(ISBLANK(TeamInfo!$H$29),"",TeamInfo!$H$29)</f>
        <v/>
      </c>
      <c r="I12" s="147" t="str">
        <f>IF(ISBLANK(TeamInfo!$I$29),"",TeamInfo!$I$29)</f>
        <v/>
      </c>
      <c r="J12" s="147" t="str">
        <f>IF(ISBLANK(TeamInfo!$J$29),"",TeamInfo!$J$29)</f>
        <v/>
      </c>
      <c r="K12" s="147" t="str">
        <f>IF(ISBLANK(TeamInfo!$K$29),"",TeamInfo!$K$29)</f>
        <v/>
      </c>
      <c r="L12" s="149" t="str">
        <f>IF(ISBLANK(TeamInfo!$L$29),"",TeamInfo!$L$29)</f>
        <v/>
      </c>
      <c r="M12" s="231" t="str">
        <f>IF(ISBLANK(TeamInfo!$M$29),"",TeamInfo!$M$29)</f>
        <v/>
      </c>
      <c r="N12" s="231" t="str">
        <f>IF(ISBLANK(TeamInfo!$N$29),"",TeamInfo!$N$29)</f>
        <v/>
      </c>
      <c r="O12" s="231" t="str">
        <f>IF(ISBLANK(TeamInfo!$O$29),"",TeamInfo!$O$29)</f>
        <v/>
      </c>
    </row>
    <row r="13" spans="1:15" s="129" customFormat="1" ht="21.9" customHeight="1" x14ac:dyDescent="0.25">
      <c r="A13" s="56" t="str">
        <f>IF(ISBLANK(TeamInfo!$A$30),"",TeamInfo!$A$30)</f>
        <v>No Talk ALD</v>
      </c>
      <c r="B13" s="230" t="str">
        <f>IF(ISBLANK(TeamInfo!$B$30),"",TeamInfo!$B$30)</f>
        <v>&lt;ALD3</v>
      </c>
      <c r="C13" s="230" t="str">
        <f>IF(ISBLANK(TeamInfo!$C$30),"",TeamInfo!$C$30)</f>
        <v>Name&gt;</v>
      </c>
      <c r="D13" s="146" t="str">
        <f>IF(ISBLANK(TeamInfo!$D$30),"",TeamInfo!$D$30)</f>
        <v/>
      </c>
      <c r="E13" s="147" t="str">
        <f>IF(ISBLANK(TeamInfo!$E$30),"",TeamInfo!$E$30)</f>
        <v>Arrears - ALD</v>
      </c>
      <c r="F13" s="148" t="str">
        <f t="shared" si="0"/>
        <v>&lt;ALD3 Name&gt;</v>
      </c>
      <c r="G13" s="148" t="str">
        <f>IF(ISBLANK(TeamInfo!$G$30),"",TeamInfo!$G$30)</f>
        <v/>
      </c>
      <c r="H13" s="148" t="str">
        <f>IF(ISBLANK(TeamInfo!$H$30),"",TeamInfo!$H$30)</f>
        <v/>
      </c>
      <c r="I13" s="147" t="str">
        <f>IF(ISBLANK(TeamInfo!$I$30),"",TeamInfo!$I$30)</f>
        <v/>
      </c>
      <c r="J13" s="147" t="str">
        <f>IF(ISBLANK(TeamInfo!$J$30),"",TeamInfo!$J$30)</f>
        <v/>
      </c>
      <c r="K13" s="147" t="str">
        <f>IF(ISBLANK(TeamInfo!$K$30),"",TeamInfo!$K$30)</f>
        <v/>
      </c>
      <c r="L13" s="149" t="str">
        <f>IF(ISBLANK(TeamInfo!$L$30),"",TeamInfo!$L$30)</f>
        <v/>
      </c>
      <c r="M13" s="231" t="str">
        <f>IF(ISBLANK(TeamInfo!$M$30),"",TeamInfo!$M$30)</f>
        <v/>
      </c>
      <c r="N13" s="231" t="str">
        <f>IF(ISBLANK(TeamInfo!$N$30),"",TeamInfo!$N$30)</f>
        <v/>
      </c>
      <c r="O13" s="231" t="str">
        <f>IF(ISBLANK(TeamInfo!$O$30),"",TeamInfo!$O$30)</f>
        <v/>
      </c>
    </row>
    <row r="14" spans="1:15" s="129" customFormat="1" ht="21.9" customHeight="1" x14ac:dyDescent="0.25">
      <c r="A14" s="56" t="str">
        <f>IF(ISBLANK(TeamInfo!$A$31),"",TeamInfo!$A$31)</f>
        <v>Board Rep</v>
      </c>
      <c r="B14" s="230" t="str">
        <f>IF(ISBLANK(TeamInfo!$B$31),"",TeamInfo!$B$31)</f>
        <v>&lt;BR</v>
      </c>
      <c r="C14" s="230" t="str">
        <f>IF(ISBLANK(TeamInfo!$C$31),"",TeamInfo!$C$31)</f>
        <v>Name&gt;</v>
      </c>
      <c r="D14" s="146" t="str">
        <f>IF(ISBLANK(TeamInfo!$D$31),"",TeamInfo!$D$31)</f>
        <v/>
      </c>
      <c r="E14" s="147" t="str">
        <f>IF(ISBLANK(TeamInfo!$E$31),"",TeamInfo!$E$31)</f>
        <v>Arrears - Board Rep.</v>
      </c>
      <c r="F14" s="148" t="str">
        <f t="shared" si="0"/>
        <v>&lt;BR Name&gt;</v>
      </c>
      <c r="G14" s="148" t="str">
        <f>IF(ISBLANK(TeamInfo!$G$31),"",TeamInfo!$G$31)</f>
        <v/>
      </c>
      <c r="H14" s="148" t="str">
        <f>IF(ISBLANK(TeamInfo!$H$31),"",TeamInfo!$H$31)</f>
        <v/>
      </c>
      <c r="I14" s="147" t="str">
        <f>IF(ISBLANK(TeamInfo!$I$31),"",TeamInfo!$I$31)</f>
        <v/>
      </c>
      <c r="J14" s="147" t="str">
        <f>IF(ISBLANK(TeamInfo!$J$31),"",TeamInfo!$J$31)</f>
        <v/>
      </c>
      <c r="K14" s="147" t="str">
        <f>IF(ISBLANK(TeamInfo!$K$31),"",TeamInfo!$K$31)</f>
        <v/>
      </c>
      <c r="L14" s="149" t="str">
        <f>IF(ISBLANK(TeamInfo!$L$31),"",TeamInfo!$L$31)</f>
        <v/>
      </c>
      <c r="M14" s="231" t="str">
        <f>IF(ISBLANK(TeamInfo!$M$31),"",TeamInfo!$M$31)</f>
        <v/>
      </c>
      <c r="N14" s="231" t="str">
        <f>IF(ISBLANK(TeamInfo!$N$31),"",TeamInfo!$N$31)</f>
        <v/>
      </c>
      <c r="O14" s="231" t="str">
        <f>IF(ISBLANK(TeamInfo!$O$31),"",TeamInfo!$O$31)</f>
        <v/>
      </c>
    </row>
    <row r="15" spans="1:15" s="129" customFormat="1" ht="21.9" customHeight="1" x14ac:dyDescent="0.25">
      <c r="A15" s="56" t="str">
        <f>IF(ISBLANK(TeamInfo!$A$32),"",TeamInfo!$A$32)</f>
        <v>Technical Director</v>
      </c>
      <c r="B15" s="230" t="str">
        <f>IF(ISBLANK(TeamInfo!$B$32),"",TeamInfo!$B$32)</f>
        <v>&lt;TD</v>
      </c>
      <c r="C15" s="230" t="str">
        <f>IF(ISBLANK(TeamInfo!$C$32),"",TeamInfo!$C$32)</f>
        <v>Name&gt;</v>
      </c>
      <c r="D15" s="146" t="str">
        <f>IF(ISBLANK(TeamInfo!$D$32),"",TeamInfo!$D$32)</f>
        <v/>
      </c>
      <c r="E15" s="147" t="str">
        <f>IF(ISBLANK(TeamInfo!$E$32),"",TeamInfo!$E$32)</f>
        <v>Arrears - TD</v>
      </c>
      <c r="F15" s="148" t="str">
        <f t="shared" si="0"/>
        <v>&lt;TD Name&gt;</v>
      </c>
      <c r="G15" s="148" t="str">
        <f>IF(ISBLANK(TeamInfo!$G$32),"",TeamInfo!$G$32)</f>
        <v/>
      </c>
      <c r="H15" s="148" t="str">
        <f>IF(ISBLANK(TeamInfo!$H$32),"",TeamInfo!$H$32)</f>
        <v/>
      </c>
      <c r="I15" s="147" t="str">
        <f>IF(ISBLANK(TeamInfo!$I$32),"",TeamInfo!$I$32)</f>
        <v/>
      </c>
      <c r="J15" s="147" t="str">
        <f>IF(ISBLANK(TeamInfo!$J$32),"",TeamInfo!$J$32)</f>
        <v/>
      </c>
      <c r="K15" s="147" t="str">
        <f>IF(ISBLANK(TeamInfo!$K$32),"",TeamInfo!$K$32)</f>
        <v/>
      </c>
      <c r="L15" s="149" t="str">
        <f>IF(ISBLANK(TeamInfo!$L$32),"",TeamInfo!$L$32)</f>
        <v/>
      </c>
      <c r="M15" s="231" t="str">
        <f>IF(ISBLANK(TeamInfo!$M$32),"",TeamInfo!$M$32)</f>
        <v/>
      </c>
      <c r="N15" s="231" t="str">
        <f>IF(ISBLANK(TeamInfo!$N$32),"",TeamInfo!$N$32)</f>
        <v/>
      </c>
      <c r="O15" s="231" t="str">
        <f>IF(ISBLANK(TeamInfo!$O$32),"",TeamInfo!$O$32)</f>
        <v/>
      </c>
    </row>
    <row r="16" spans="1:15" s="129" customFormat="1" ht="21.9" customHeight="1" x14ac:dyDescent="0.25">
      <c r="A16" s="56" t="str">
        <f>IF(ISBLANK(TeamInfo!$A$33),"",TeamInfo!$A$33)</f>
        <v>Technical Director 2</v>
      </c>
      <c r="B16" s="230" t="str">
        <f>IF(ISBLANK(TeamInfo!$B$33),"",TeamInfo!$B$33)</f>
        <v>&lt;TD2</v>
      </c>
      <c r="C16" s="230" t="str">
        <f>IF(ISBLANK(TeamInfo!$C$33),"",TeamInfo!$C$33)</f>
        <v>Name&gt;</v>
      </c>
      <c r="D16" s="146" t="str">
        <f>IF(ISBLANK(TeamInfo!$D$33),"",TeamInfo!$D$33)</f>
        <v/>
      </c>
      <c r="E16" s="147" t="str">
        <f>IF(ISBLANK(TeamInfo!$E$33),"",TeamInfo!$E$33)</f>
        <v>Arrears - Asst. TD</v>
      </c>
      <c r="F16" s="148" t="str">
        <f t="shared" si="0"/>
        <v>&lt;TD2 Name&gt;</v>
      </c>
      <c r="G16" s="148" t="str">
        <f>IF(ISBLANK(TeamInfo!$G$33),"",TeamInfo!$G$33)</f>
        <v/>
      </c>
      <c r="H16" s="148" t="str">
        <f>IF(ISBLANK(TeamInfo!$H$33),"",TeamInfo!$H$33)</f>
        <v/>
      </c>
      <c r="I16" s="147" t="str">
        <f>IF(ISBLANK(TeamInfo!$I$33),"",TeamInfo!$I$33)</f>
        <v/>
      </c>
      <c r="J16" s="147" t="str">
        <f>IF(ISBLANK(TeamInfo!$J$33),"",TeamInfo!$J$33)</f>
        <v/>
      </c>
      <c r="K16" s="147" t="str">
        <f>IF(ISBLANK(TeamInfo!$K$33),"",TeamInfo!$K$33)</f>
        <v/>
      </c>
      <c r="L16" s="149" t="str">
        <f>IF(ISBLANK(TeamInfo!$L$33),"",TeamInfo!$L$33)</f>
        <v/>
      </c>
      <c r="M16" s="231" t="str">
        <f>IF(ISBLANK(TeamInfo!$M$33),"",TeamInfo!$M$33)</f>
        <v/>
      </c>
      <c r="N16" s="231" t="str">
        <f>IF(ISBLANK(TeamInfo!$N$33),"",TeamInfo!$N$33)</f>
        <v/>
      </c>
      <c r="O16" s="231" t="str">
        <f>IF(ISBLANK(TeamInfo!$O$33),"",TeamInfo!$O$33)</f>
        <v/>
      </c>
    </row>
    <row r="17" spans="1:15" s="129" customFormat="1" ht="21.9" customHeight="1" x14ac:dyDescent="0.25">
      <c r="A17" s="56" t="str">
        <f>IF(ISBLANK(TeamInfo!$A$34),"",TeamInfo!$A$34)</f>
        <v>Music Director</v>
      </c>
      <c r="B17" s="230" t="str">
        <f>IF(ISBLANK(TeamInfo!$B$34),"",TeamInfo!$B$34)</f>
        <v>&lt;MD</v>
      </c>
      <c r="C17" s="230" t="str">
        <f>IF(ISBLANK(TeamInfo!$C$34),"",TeamInfo!$C$34)</f>
        <v>Name&gt;</v>
      </c>
      <c r="D17" s="146" t="str">
        <f>IF(ISBLANK(TeamInfo!$D$34),"",TeamInfo!$D$34)</f>
        <v/>
      </c>
      <c r="E17" s="147" t="str">
        <f>IF(ISBLANK(TeamInfo!$E$34),"",TeamInfo!$E$34)</f>
        <v>Arrears - MD</v>
      </c>
      <c r="F17" s="148" t="str">
        <f t="shared" si="0"/>
        <v>&lt;MD Name&gt;</v>
      </c>
      <c r="G17" s="148" t="str">
        <f>IF(ISBLANK(TeamInfo!$G$34),"",TeamInfo!$G$34)</f>
        <v/>
      </c>
      <c r="H17" s="148" t="str">
        <f>IF(ISBLANK(TeamInfo!$H$34),"",TeamInfo!$H$34)</f>
        <v/>
      </c>
      <c r="I17" s="147" t="str">
        <f>IF(ISBLANK(TeamInfo!$I$34),"",TeamInfo!$I$34)</f>
        <v/>
      </c>
      <c r="J17" s="147" t="str">
        <f>IF(ISBLANK(TeamInfo!$J$34),"",TeamInfo!$J$34)</f>
        <v/>
      </c>
      <c r="K17" s="147" t="str">
        <f>IF(ISBLANK(TeamInfo!$K$34),"",TeamInfo!$K$34)</f>
        <v/>
      </c>
      <c r="L17" s="149" t="str">
        <f>IF(ISBLANK(TeamInfo!$L$34),"",TeamInfo!$L$34)</f>
        <v/>
      </c>
      <c r="M17" s="231" t="str">
        <f>IF(ISBLANK(TeamInfo!$M$34),"",TeamInfo!$M$34)</f>
        <v/>
      </c>
      <c r="N17" s="231" t="str">
        <f>IF(ISBLANK(TeamInfo!$N$34),"",TeamInfo!$N$34)</f>
        <v/>
      </c>
      <c r="O17" s="231" t="str">
        <f>IF(ISBLANK(TeamInfo!$O$34),"",TeamInfo!$O$34)</f>
        <v/>
      </c>
    </row>
    <row r="18" spans="1:15" s="129" customFormat="1" ht="21.9" customHeight="1" x14ac:dyDescent="0.25">
      <c r="A18" s="56" t="str">
        <f>IF(ISBLANK(TeamInfo!$A$35),"",TeamInfo!$A$35)</f>
        <v>Music Director 2</v>
      </c>
      <c r="B18" s="230" t="str">
        <f>IF(ISBLANK(TeamInfo!$B$35),"",TeamInfo!$B$35)</f>
        <v>&lt;MD2</v>
      </c>
      <c r="C18" s="230" t="str">
        <f>IF(ISBLANK(TeamInfo!$C$35),"",TeamInfo!$C$35)</f>
        <v>Name&gt;</v>
      </c>
      <c r="D18" s="146" t="str">
        <f>IF(ISBLANK(TeamInfo!$D$35),"",TeamInfo!$D$35)</f>
        <v/>
      </c>
      <c r="E18" s="147" t="str">
        <f>IF(ISBLANK(TeamInfo!$E$35),"",TeamInfo!$E$35)</f>
        <v>Arrears - Asst. MD</v>
      </c>
      <c r="F18" s="148" t="str">
        <f t="shared" si="0"/>
        <v>&lt;MD2 Name&gt;</v>
      </c>
      <c r="G18" s="148" t="str">
        <f>IF(ISBLANK(TeamInfo!$G$35),"",TeamInfo!$G$35)</f>
        <v/>
      </c>
      <c r="H18" s="148" t="str">
        <f>IF(ISBLANK(TeamInfo!$H$35),"",TeamInfo!$H$35)</f>
        <v/>
      </c>
      <c r="I18" s="147" t="str">
        <f>IF(ISBLANK(TeamInfo!$I$35),"",TeamInfo!$I$35)</f>
        <v/>
      </c>
      <c r="J18" s="147" t="str">
        <f>IF(ISBLANK(TeamInfo!$J$35),"",TeamInfo!$J$35)</f>
        <v/>
      </c>
      <c r="K18" s="147" t="str">
        <f>IF(ISBLANK(TeamInfo!$K$35),"",TeamInfo!$K$35)</f>
        <v/>
      </c>
      <c r="L18" s="149" t="str">
        <f>IF(ISBLANK(TeamInfo!$L$35),"",TeamInfo!$L$35)</f>
        <v/>
      </c>
      <c r="M18" s="231" t="str">
        <f>IF(ISBLANK(TeamInfo!$M$35),"",TeamInfo!$M$35)</f>
        <v/>
      </c>
      <c r="N18" s="231" t="str">
        <f>IF(ISBLANK(TeamInfo!$N$35),"",TeamInfo!$N$35)</f>
        <v/>
      </c>
      <c r="O18" s="231" t="str">
        <f>IF(ISBLANK(TeamInfo!$O$35),"",TeamInfo!$O$35)</f>
        <v/>
      </c>
    </row>
    <row r="19" spans="1:15" s="129" customFormat="1" ht="21.9" customHeight="1" x14ac:dyDescent="0.25">
      <c r="A19" s="56" t="str">
        <f>IF(ISBLANK(TeamInfo!$A$36),"",TeamInfo!$A$36)</f>
        <v>Table Leader 1</v>
      </c>
      <c r="B19" s="230" t="str">
        <f>IF(ISBLANK(TeamInfo!$B$36),"",TeamInfo!$B$36)</f>
        <v>&lt;TL1</v>
      </c>
      <c r="C19" s="230" t="str">
        <f>IF(ISBLANK(TeamInfo!$C$36),"",TeamInfo!$C$36)</f>
        <v>Name&gt;</v>
      </c>
      <c r="D19" s="146" t="str">
        <f>IF(ISBLANK(TeamInfo!$D$36),"",TeamInfo!$D$36)</f>
        <v>Priesthood of All Believers</v>
      </c>
      <c r="E19" s="147" t="str">
        <f>IF(ISBLANK(TeamInfo!$E$36),"",TeamInfo!$E$36)</f>
        <v>TABLE1</v>
      </c>
      <c r="F19" s="148" t="str">
        <f t="shared" si="0"/>
        <v>&lt;TL1 Name&gt;</v>
      </c>
      <c r="G19" s="148" t="str">
        <f>IF(ISBLANK(TeamInfo!$G$36),"",TeamInfo!$G$36)</f>
        <v/>
      </c>
      <c r="H19" s="148" t="str">
        <f>IF(ISBLANK(TeamInfo!$H$36),"",TeamInfo!$H$36)</f>
        <v/>
      </c>
      <c r="I19" s="147" t="str">
        <f>IF(ISBLANK(TeamInfo!$I$36),"",TeamInfo!$I$36)</f>
        <v/>
      </c>
      <c r="J19" s="147" t="str">
        <f>IF(ISBLANK(TeamInfo!$J$36),"",TeamInfo!$J$36)</f>
        <v/>
      </c>
      <c r="K19" s="147" t="str">
        <f>IF(ISBLANK(TeamInfo!$K$36),"",TeamInfo!$K$36)</f>
        <v/>
      </c>
      <c r="L19" s="149" t="str">
        <f>IF(ISBLANK(TeamInfo!$L$36),"",TeamInfo!$L$36)</f>
        <v/>
      </c>
      <c r="M19" s="231" t="str">
        <f>IF(ISBLANK(TeamInfo!$M$36),"",TeamInfo!$M$36)</f>
        <v/>
      </c>
      <c r="N19" s="231" t="str">
        <f>IF(ISBLANK(TeamInfo!$N$36),"",TeamInfo!$N$36)</f>
        <v/>
      </c>
      <c r="O19" s="231" t="str">
        <f>IF(ISBLANK(TeamInfo!$O$36),"",TeamInfo!$O$36)</f>
        <v/>
      </c>
    </row>
    <row r="20" spans="1:15" s="129" customFormat="1" ht="21.9" customHeight="1" x14ac:dyDescent="0.25">
      <c r="A20" s="56" t="str">
        <f>IF(ISBLANK(TeamInfo!$A$37),"",TeamInfo!$A$37)</f>
        <v>Asst. Table Leader 1</v>
      </c>
      <c r="B20" s="230" t="str">
        <f>IF(ISBLANK(TeamInfo!$B$37),"",TeamInfo!$B$37)</f>
        <v>&lt;ATL1</v>
      </c>
      <c r="C20" s="230" t="str">
        <f>IF(ISBLANK(TeamInfo!$C$37),"",TeamInfo!$C$37)</f>
        <v>Name&gt;</v>
      </c>
      <c r="D20" s="146" t="str">
        <f>IF(ISBLANK(TeamInfo!$D$37),"",TeamInfo!$D$37)</f>
        <v/>
      </c>
      <c r="E20" s="147" t="str">
        <f>IF(ISBLANK(TeamInfo!$E$37),"",TeamInfo!$E$37)</f>
        <v>TABLE1</v>
      </c>
      <c r="F20" s="148" t="str">
        <f t="shared" si="0"/>
        <v>&lt;ATL1 Name&gt;</v>
      </c>
      <c r="G20" s="148" t="str">
        <f>IF(ISBLANK(TeamInfo!$G$37),"",TeamInfo!$G$37)</f>
        <v/>
      </c>
      <c r="H20" s="148" t="str">
        <f>IF(ISBLANK(TeamInfo!$H$37),"",TeamInfo!$H$37)</f>
        <v/>
      </c>
      <c r="I20" s="147" t="str">
        <f>IF(ISBLANK(TeamInfo!$I$37),"",TeamInfo!$I$37)</f>
        <v/>
      </c>
      <c r="J20" s="147" t="str">
        <f>IF(ISBLANK(TeamInfo!$J$37),"",TeamInfo!$J$37)</f>
        <v/>
      </c>
      <c r="K20" s="147" t="str">
        <f>IF(ISBLANK(TeamInfo!$K$37),"",TeamInfo!$K$37)</f>
        <v/>
      </c>
      <c r="L20" s="149" t="str">
        <f>IF(ISBLANK(TeamInfo!$L$37),"",TeamInfo!$L$37)</f>
        <v/>
      </c>
      <c r="M20" s="231" t="str">
        <f>IF(ISBLANK(TeamInfo!$M$37),"",TeamInfo!$M$37)</f>
        <v/>
      </c>
      <c r="N20" s="231" t="str">
        <f>IF(ISBLANK(TeamInfo!$N$37),"",TeamInfo!$N$37)</f>
        <v/>
      </c>
      <c r="O20" s="231" t="str">
        <f>IF(ISBLANK(TeamInfo!$O$37),"",TeamInfo!$O$37)</f>
        <v/>
      </c>
    </row>
    <row r="21" spans="1:15" s="129" customFormat="1" ht="21.9" customHeight="1" x14ac:dyDescent="0.25">
      <c r="A21" s="56" t="str">
        <f>IF(ISBLANK(TeamInfo!$A$38),"",TeamInfo!$A$38)</f>
        <v>Table Leader 2</v>
      </c>
      <c r="B21" s="230" t="str">
        <f>IF(ISBLANK(TeamInfo!$B$38),"",TeamInfo!$B$38)</f>
        <v>&lt;TL2</v>
      </c>
      <c r="C21" s="230" t="str">
        <f>IF(ISBLANK(TeamInfo!$C$38),"",TeamInfo!$C$38)</f>
        <v>Name&gt;</v>
      </c>
      <c r="D21" s="146" t="str">
        <f>IF(ISBLANK(TeamInfo!$D$38),"",TeamInfo!$D$38)</f>
        <v>Life of Piety</v>
      </c>
      <c r="E21" s="147" t="str">
        <f>IF(ISBLANK(TeamInfo!$E$38),"",TeamInfo!$E$38)</f>
        <v>TABLE2</v>
      </c>
      <c r="F21" s="148" t="str">
        <f t="shared" si="0"/>
        <v>&lt;TL2 Name&gt;</v>
      </c>
      <c r="G21" s="148" t="str">
        <f>IF(ISBLANK(TeamInfo!$G$38),"",TeamInfo!$G$38)</f>
        <v/>
      </c>
      <c r="H21" s="148" t="str">
        <f>IF(ISBLANK(TeamInfo!$H$38),"",TeamInfo!$H$38)</f>
        <v/>
      </c>
      <c r="I21" s="147" t="str">
        <f>IF(ISBLANK(TeamInfo!$I$38),"",TeamInfo!$I$38)</f>
        <v/>
      </c>
      <c r="J21" s="147" t="str">
        <f>IF(ISBLANK(TeamInfo!$J$38),"",TeamInfo!$J$38)</f>
        <v/>
      </c>
      <c r="K21" s="147" t="str">
        <f>IF(ISBLANK(TeamInfo!$K$38),"",TeamInfo!$K$38)</f>
        <v/>
      </c>
      <c r="L21" s="149" t="str">
        <f>IF(ISBLANK(TeamInfo!$L$38),"",TeamInfo!$L$38)</f>
        <v/>
      </c>
      <c r="M21" s="231" t="str">
        <f>IF(ISBLANK(TeamInfo!$M$38),"",TeamInfo!$M$38)</f>
        <v/>
      </c>
      <c r="N21" s="231" t="str">
        <f>IF(ISBLANK(TeamInfo!$N$38),"",TeamInfo!$N$38)</f>
        <v/>
      </c>
      <c r="O21" s="231" t="str">
        <f>IF(ISBLANK(TeamInfo!$O$38),"",TeamInfo!$O$38)</f>
        <v/>
      </c>
    </row>
    <row r="22" spans="1:15" s="129" customFormat="1" ht="21.9" customHeight="1" x14ac:dyDescent="0.25">
      <c r="A22" s="56" t="str">
        <f>IF(ISBLANK(TeamInfo!$A$39),"",TeamInfo!$A$39)</f>
        <v>Asst. Table Leader 2</v>
      </c>
      <c r="B22" s="230" t="str">
        <f>IF(ISBLANK(TeamInfo!$B$39),"",TeamInfo!$B$39)</f>
        <v>&lt;ATL2</v>
      </c>
      <c r="C22" s="230" t="str">
        <f>IF(ISBLANK(TeamInfo!$C$39),"",TeamInfo!$C$39)</f>
        <v>Name&gt;</v>
      </c>
      <c r="D22" s="146" t="str">
        <f>IF(ISBLANK(TeamInfo!$D$39),"",TeamInfo!$D$39)</f>
        <v/>
      </c>
      <c r="E22" s="147" t="str">
        <f>IF(ISBLANK(TeamInfo!$E$39),"",TeamInfo!$E$39)</f>
        <v>TABLE2</v>
      </c>
      <c r="F22" s="148" t="str">
        <f t="shared" si="0"/>
        <v>&lt;ATL2 Name&gt;</v>
      </c>
      <c r="G22" s="148" t="str">
        <f>IF(ISBLANK(TeamInfo!$G$39),"",TeamInfo!$G$39)</f>
        <v/>
      </c>
      <c r="H22" s="148" t="str">
        <f>IF(ISBLANK(TeamInfo!$H$39),"",TeamInfo!$H$39)</f>
        <v/>
      </c>
      <c r="I22" s="147" t="str">
        <f>IF(ISBLANK(TeamInfo!$I$39),"",TeamInfo!$I$39)</f>
        <v/>
      </c>
      <c r="J22" s="147" t="str">
        <f>IF(ISBLANK(TeamInfo!$J$39),"",TeamInfo!$J$39)</f>
        <v/>
      </c>
      <c r="K22" s="147" t="str">
        <f>IF(ISBLANK(TeamInfo!$K$39),"",TeamInfo!$K$39)</f>
        <v/>
      </c>
      <c r="L22" s="149" t="str">
        <f>IF(ISBLANK(TeamInfo!$L$39),"",TeamInfo!$L$39)</f>
        <v/>
      </c>
      <c r="M22" s="231" t="str">
        <f>IF(ISBLANK(TeamInfo!$M$39),"",TeamInfo!$M$39)</f>
        <v/>
      </c>
      <c r="N22" s="231" t="str">
        <f>IF(ISBLANK(TeamInfo!$N$39),"",TeamInfo!$N$39)</f>
        <v/>
      </c>
      <c r="O22" s="231" t="str">
        <f>IF(ISBLANK(TeamInfo!$O$39),"",TeamInfo!$O$39)</f>
        <v/>
      </c>
    </row>
    <row r="23" spans="1:15" s="129" customFormat="1" ht="21.9" customHeight="1" x14ac:dyDescent="0.25">
      <c r="A23" s="56" t="str">
        <f>IF(ISBLANK(TeamInfo!$A$40),"",TeamInfo!$A$40)</f>
        <v>Table Leader 3</v>
      </c>
      <c r="B23" s="230" t="str">
        <f>IF(ISBLANK(TeamInfo!$B$40),"",TeamInfo!$B$40)</f>
        <v>&lt;TL3</v>
      </c>
      <c r="C23" s="230" t="str">
        <f>IF(ISBLANK(TeamInfo!$C$40),"",TeamInfo!$C$40)</f>
        <v>Name&gt;</v>
      </c>
      <c r="D23" s="146" t="str">
        <f>IF(ISBLANK(TeamInfo!$D$40),"",TeamInfo!$D$40)</f>
        <v>Grow Through Study</v>
      </c>
      <c r="E23" s="147" t="str">
        <f>IF(ISBLANK(TeamInfo!$E$40),"",TeamInfo!$E$40)</f>
        <v>TABLE3</v>
      </c>
      <c r="F23" s="148" t="str">
        <f t="shared" si="0"/>
        <v>&lt;TL3 Name&gt;</v>
      </c>
      <c r="G23" s="148" t="str">
        <f>IF(ISBLANK(TeamInfo!$G$40),"",TeamInfo!$G$40)</f>
        <v/>
      </c>
      <c r="H23" s="148" t="str">
        <f>IF(ISBLANK(TeamInfo!$H$40),"",TeamInfo!$H$40)</f>
        <v/>
      </c>
      <c r="I23" s="147" t="str">
        <f>IF(ISBLANK(TeamInfo!$I$40),"",TeamInfo!$I$40)</f>
        <v/>
      </c>
      <c r="J23" s="147" t="str">
        <f>IF(ISBLANK(TeamInfo!$J$40),"",TeamInfo!$J$40)</f>
        <v/>
      </c>
      <c r="K23" s="147" t="str">
        <f>IF(ISBLANK(TeamInfo!$K$40),"",TeamInfo!$K$40)</f>
        <v/>
      </c>
      <c r="L23" s="149" t="str">
        <f>IF(ISBLANK(TeamInfo!$L$40),"",TeamInfo!$L$40)</f>
        <v/>
      </c>
      <c r="M23" s="231" t="str">
        <f>IF(ISBLANK(TeamInfo!$M$40),"",TeamInfo!$M$40)</f>
        <v/>
      </c>
      <c r="N23" s="231" t="str">
        <f>IF(ISBLANK(TeamInfo!$N$40),"",TeamInfo!$N$40)</f>
        <v/>
      </c>
      <c r="O23" s="231" t="str">
        <f>IF(ISBLANK(TeamInfo!$O$40),"",TeamInfo!$O$40)</f>
        <v/>
      </c>
    </row>
    <row r="24" spans="1:15" s="129" customFormat="1" ht="21.9" customHeight="1" x14ac:dyDescent="0.25">
      <c r="A24" s="56" t="str">
        <f>IF(ISBLANK(TeamInfo!$A$41),"",TeamInfo!$A$41)</f>
        <v>Asst. Table Leader 3</v>
      </c>
      <c r="B24" s="230" t="str">
        <f>IF(ISBLANK(TeamInfo!$B$41),"",TeamInfo!$B$41)</f>
        <v>&lt;ATL3</v>
      </c>
      <c r="C24" s="230" t="str">
        <f>IF(ISBLANK(TeamInfo!$C$41),"",TeamInfo!$C$41)</f>
        <v>Name&gt;</v>
      </c>
      <c r="D24" s="146" t="str">
        <f>IF(ISBLANK(TeamInfo!$D$41),"",TeamInfo!$D$41)</f>
        <v/>
      </c>
      <c r="E24" s="147" t="str">
        <f>IF(ISBLANK(TeamInfo!$E$41),"",TeamInfo!$E$41)</f>
        <v>TABLE3</v>
      </c>
      <c r="F24" s="148" t="str">
        <f t="shared" si="0"/>
        <v>&lt;ATL3 Name&gt;</v>
      </c>
      <c r="G24" s="148" t="str">
        <f>IF(ISBLANK(TeamInfo!$G$41),"",TeamInfo!$G$41)</f>
        <v/>
      </c>
      <c r="H24" s="148" t="str">
        <f>IF(ISBLANK(TeamInfo!$H$41),"",TeamInfo!$H$41)</f>
        <v/>
      </c>
      <c r="I24" s="147" t="str">
        <f>IF(ISBLANK(TeamInfo!$I$41),"",TeamInfo!$I$41)</f>
        <v/>
      </c>
      <c r="J24" s="147" t="str">
        <f>IF(ISBLANK(TeamInfo!$J$41),"",TeamInfo!$J$41)</f>
        <v/>
      </c>
      <c r="K24" s="147" t="str">
        <f>IF(ISBLANK(TeamInfo!$K$41),"",TeamInfo!$K$41)</f>
        <v/>
      </c>
      <c r="L24" s="149" t="str">
        <f>IF(ISBLANK(TeamInfo!$L$41),"",TeamInfo!$L$41)</f>
        <v/>
      </c>
      <c r="M24" s="231" t="str">
        <f>IF(ISBLANK(TeamInfo!$M$41),"",TeamInfo!$M$41)</f>
        <v/>
      </c>
      <c r="N24" s="231" t="str">
        <f>IF(ISBLANK(TeamInfo!$N$41),"",TeamInfo!$N$41)</f>
        <v/>
      </c>
      <c r="O24" s="231" t="str">
        <f>IF(ISBLANK(TeamInfo!$O$41),"",TeamInfo!$O$41)</f>
        <v/>
      </c>
    </row>
    <row r="25" spans="1:15" s="129" customFormat="1" ht="21.9" customHeight="1" x14ac:dyDescent="0.25">
      <c r="A25" s="56" t="str">
        <f>IF(ISBLANK(TeamInfo!$A$42),"",TeamInfo!$A$42)</f>
        <v>Table Leader 4</v>
      </c>
      <c r="B25" s="230" t="str">
        <f>IF(ISBLANK(TeamInfo!$B$42),"",TeamInfo!$B$42)</f>
        <v>&lt;TL4</v>
      </c>
      <c r="C25" s="230" t="str">
        <f>IF(ISBLANK(TeamInfo!$C$42),"",TeamInfo!$C$42)</f>
        <v>Name&gt;</v>
      </c>
      <c r="D25" s="146" t="str">
        <f>IF(ISBLANK(TeamInfo!$D$42),"",TeamInfo!$D$42)</f>
        <v>Christian Action</v>
      </c>
      <c r="E25" s="147" t="str">
        <f>IF(ISBLANK(TeamInfo!$E$42),"",TeamInfo!$E$42)</f>
        <v>TABLE4</v>
      </c>
      <c r="F25" s="148" t="str">
        <f t="shared" si="0"/>
        <v>&lt;TL4 Name&gt;</v>
      </c>
      <c r="G25" s="148" t="str">
        <f>IF(ISBLANK(TeamInfo!$G$42),"",TeamInfo!$G$42)</f>
        <v/>
      </c>
      <c r="H25" s="148" t="str">
        <f>IF(ISBLANK(TeamInfo!$H$42),"",TeamInfo!$H$42)</f>
        <v/>
      </c>
      <c r="I25" s="147" t="str">
        <f>IF(ISBLANK(TeamInfo!$I$42),"",TeamInfo!$I$42)</f>
        <v/>
      </c>
      <c r="J25" s="147" t="str">
        <f>IF(ISBLANK(TeamInfo!$J$42),"",TeamInfo!$J$42)</f>
        <v/>
      </c>
      <c r="K25" s="147" t="str">
        <f>IF(ISBLANK(TeamInfo!$K$42),"",TeamInfo!$K$42)</f>
        <v/>
      </c>
      <c r="L25" s="149" t="str">
        <f>IF(ISBLANK(TeamInfo!$L$42),"",TeamInfo!$L$42)</f>
        <v/>
      </c>
      <c r="M25" s="231" t="str">
        <f>IF(ISBLANK(TeamInfo!$M$42),"",TeamInfo!$M$42)</f>
        <v/>
      </c>
      <c r="N25" s="231" t="str">
        <f>IF(ISBLANK(TeamInfo!$N$42),"",TeamInfo!$N$42)</f>
        <v/>
      </c>
      <c r="O25" s="231" t="str">
        <f>IF(ISBLANK(TeamInfo!$O$42),"",TeamInfo!$O$42)</f>
        <v/>
      </c>
    </row>
    <row r="26" spans="1:15" s="129" customFormat="1" ht="21.9" customHeight="1" x14ac:dyDescent="0.25">
      <c r="A26" s="56" t="str">
        <f>IF(ISBLANK(TeamInfo!$A$43),"",TeamInfo!$A$43)</f>
        <v>Asst. Table Leader 4</v>
      </c>
      <c r="B26" s="230" t="str">
        <f>IF(ISBLANK(TeamInfo!$B$43),"",TeamInfo!$B$43)</f>
        <v>&lt;ATL4</v>
      </c>
      <c r="C26" s="230" t="str">
        <f>IF(ISBLANK(TeamInfo!$C$43),"",TeamInfo!$C$43)</f>
        <v>Name&gt;</v>
      </c>
      <c r="D26" s="146" t="str">
        <f>IF(ISBLANK(TeamInfo!$D$43),"",TeamInfo!$D$43)</f>
        <v/>
      </c>
      <c r="E26" s="147" t="str">
        <f>IF(ISBLANK(TeamInfo!$E$43),"",TeamInfo!$E$43)</f>
        <v>TABLE4</v>
      </c>
      <c r="F26" s="148" t="str">
        <f t="shared" si="0"/>
        <v>&lt;ATL4 Name&gt;</v>
      </c>
      <c r="G26" s="148" t="str">
        <f>IF(ISBLANK(TeamInfo!$G$43),"",TeamInfo!$G$43)</f>
        <v/>
      </c>
      <c r="H26" s="148" t="str">
        <f>IF(ISBLANK(TeamInfo!$H$43),"",TeamInfo!$H$43)</f>
        <v/>
      </c>
      <c r="I26" s="147" t="str">
        <f>IF(ISBLANK(TeamInfo!$I$43),"",TeamInfo!$I$43)</f>
        <v/>
      </c>
      <c r="J26" s="147" t="str">
        <f>IF(ISBLANK(TeamInfo!$J$43),"",TeamInfo!$J$43)</f>
        <v/>
      </c>
      <c r="K26" s="147" t="str">
        <f>IF(ISBLANK(TeamInfo!$K$43),"",TeamInfo!$K$43)</f>
        <v/>
      </c>
      <c r="L26" s="149" t="str">
        <f>IF(ISBLANK(TeamInfo!$L$43),"",TeamInfo!$L$43)</f>
        <v/>
      </c>
      <c r="M26" s="231" t="str">
        <f>IF(ISBLANK(TeamInfo!$M$43),"",TeamInfo!$M$43)</f>
        <v/>
      </c>
      <c r="N26" s="231" t="str">
        <f>IF(ISBLANK(TeamInfo!$N$43),"",TeamInfo!$N$43)</f>
        <v/>
      </c>
      <c r="O26" s="231" t="str">
        <f>IF(ISBLANK(TeamInfo!$O$43),"",TeamInfo!$O$43)</f>
        <v/>
      </c>
    </row>
    <row r="27" spans="1:15" s="129" customFormat="1" ht="21.9" customHeight="1" x14ac:dyDescent="0.25">
      <c r="A27" s="56" t="str">
        <f>IF(ISBLANK(TeamInfo!$A$44),"",TeamInfo!$A$44)</f>
        <v>Table Leader 5</v>
      </c>
      <c r="B27" s="230" t="str">
        <f>IF(ISBLANK(TeamInfo!$B$44),"",TeamInfo!$B$44)</f>
        <v>&lt;TL5</v>
      </c>
      <c r="C27" s="230" t="str">
        <f>IF(ISBLANK(TeamInfo!$C$44),"",TeamInfo!$C$44)</f>
        <v>Name&gt;</v>
      </c>
      <c r="D27" s="146" t="str">
        <f>IF(ISBLANK(TeamInfo!$D$44),"",TeamInfo!$D$44)</f>
        <v>Discipleship</v>
      </c>
      <c r="E27" s="147" t="str">
        <f>IF(ISBLANK(TeamInfo!$E$44),"",TeamInfo!$E$44)</f>
        <v>TABLE5</v>
      </c>
      <c r="F27" s="148" t="str">
        <f t="shared" si="0"/>
        <v>&lt;TL5 Name&gt;</v>
      </c>
      <c r="G27" s="148" t="str">
        <f>IF(ISBLANK(TeamInfo!$G$44),"",TeamInfo!$G$44)</f>
        <v/>
      </c>
      <c r="H27" s="148" t="str">
        <f>IF(ISBLANK(TeamInfo!$H$44),"",TeamInfo!$H$44)</f>
        <v/>
      </c>
      <c r="I27" s="147" t="str">
        <f>IF(ISBLANK(TeamInfo!$I$44),"",TeamInfo!$I$44)</f>
        <v/>
      </c>
      <c r="J27" s="147" t="str">
        <f>IF(ISBLANK(TeamInfo!$J$44),"",TeamInfo!$J$44)</f>
        <v/>
      </c>
      <c r="K27" s="147" t="str">
        <f>IF(ISBLANK(TeamInfo!$K$44),"",TeamInfo!$K$44)</f>
        <v/>
      </c>
      <c r="L27" s="149" t="str">
        <f>IF(ISBLANK(TeamInfo!$L$44),"",TeamInfo!$L$44)</f>
        <v/>
      </c>
      <c r="M27" s="231" t="str">
        <f>IF(ISBLANK(TeamInfo!$M$44),"",TeamInfo!$M$44)</f>
        <v/>
      </c>
      <c r="N27" s="231" t="str">
        <f>IF(ISBLANK(TeamInfo!$N$44),"",TeamInfo!$N$44)</f>
        <v/>
      </c>
      <c r="O27" s="231" t="str">
        <f>IF(ISBLANK(TeamInfo!$O$44),"",TeamInfo!$O$44)</f>
        <v/>
      </c>
    </row>
    <row r="28" spans="1:15" s="129" customFormat="1" ht="21.9" customHeight="1" x14ac:dyDescent="0.25">
      <c r="A28" s="56" t="str">
        <f>IF(ISBLANK(TeamInfo!$A$45),"",TeamInfo!$A$45)</f>
        <v>Asst. Table Leader 5</v>
      </c>
      <c r="B28" s="230" t="str">
        <f>IF(ISBLANK(TeamInfo!$B$45),"",TeamInfo!$B$45)</f>
        <v>&lt;ATL5</v>
      </c>
      <c r="C28" s="230" t="str">
        <f>IF(ISBLANK(TeamInfo!$C$45),"",TeamInfo!$C$45)</f>
        <v>Name&gt;</v>
      </c>
      <c r="D28" s="146" t="str">
        <f>IF(ISBLANK(TeamInfo!$D$45),"",TeamInfo!$D$45)</f>
        <v/>
      </c>
      <c r="E28" s="147" t="str">
        <f>IF(ISBLANK(TeamInfo!$E$45),"",TeamInfo!$E$45)</f>
        <v>TABLE5</v>
      </c>
      <c r="F28" s="148" t="str">
        <f t="shared" si="0"/>
        <v>&lt;ATL5 Name&gt;</v>
      </c>
      <c r="G28" s="148" t="str">
        <f>IF(ISBLANK(TeamInfo!$G$45),"",TeamInfo!$G$45)</f>
        <v/>
      </c>
      <c r="H28" s="148" t="str">
        <f>IF(ISBLANK(TeamInfo!$H$45),"",TeamInfo!$H$45)</f>
        <v/>
      </c>
      <c r="I28" s="147" t="str">
        <f>IF(ISBLANK(TeamInfo!$I$45),"",TeamInfo!$I$45)</f>
        <v/>
      </c>
      <c r="J28" s="147" t="str">
        <f>IF(ISBLANK(TeamInfo!$J$45),"",TeamInfo!$J$45)</f>
        <v/>
      </c>
      <c r="K28" s="147" t="str">
        <f>IF(ISBLANK(TeamInfo!$K$45),"",TeamInfo!$K$45)</f>
        <v/>
      </c>
      <c r="L28" s="149" t="str">
        <f>IF(ISBLANK(TeamInfo!$L$45),"",TeamInfo!$L$45)</f>
        <v/>
      </c>
      <c r="M28" s="231" t="str">
        <f>IF(ISBLANK(TeamInfo!$M$45),"",TeamInfo!$M$45)</f>
        <v/>
      </c>
      <c r="N28" s="231" t="str">
        <f>IF(ISBLANK(TeamInfo!$N$45),"",TeamInfo!$N$45)</f>
        <v/>
      </c>
      <c r="O28" s="231" t="str">
        <f>IF(ISBLANK(TeamInfo!$O$45),"",TeamInfo!$O$45)</f>
        <v/>
      </c>
    </row>
    <row r="29" spans="1:15" s="129" customFormat="1" ht="21.9" customHeight="1" x14ac:dyDescent="0.25">
      <c r="A29" s="56" t="str">
        <f>IF(ISBLANK(TeamInfo!$A$46),"",TeamInfo!$A$46)</f>
        <v>Table Leader 6</v>
      </c>
      <c r="B29" s="230" t="str">
        <f>IF(ISBLANK(TeamInfo!$B$46),"",TeamInfo!$B$46)</f>
        <v>&lt;TL6</v>
      </c>
      <c r="C29" s="230" t="str">
        <f>IF(ISBLANK(TeamInfo!$C$46),"",TeamInfo!$C$46)</f>
        <v>Name&gt;</v>
      </c>
      <c r="D29" s="146" t="str">
        <f>IF(ISBLANK(TeamInfo!$D$46),"",TeamInfo!$D$46)</f>
        <v>Changing Our World</v>
      </c>
      <c r="E29" s="147" t="str">
        <f>IF(ISBLANK(TeamInfo!$E$46),"",TeamInfo!$E$46)</f>
        <v>TABLE6</v>
      </c>
      <c r="F29" s="148" t="str">
        <f t="shared" si="0"/>
        <v>&lt;TL6 Name&gt;</v>
      </c>
      <c r="G29" s="148" t="str">
        <f>IF(ISBLANK(TeamInfo!$G$46),"",TeamInfo!$G$46)</f>
        <v/>
      </c>
      <c r="H29" s="148" t="str">
        <f>IF(ISBLANK(TeamInfo!$H$46),"",TeamInfo!$H$46)</f>
        <v/>
      </c>
      <c r="I29" s="147" t="str">
        <f>IF(ISBLANK(TeamInfo!$I$46),"",TeamInfo!$I$46)</f>
        <v/>
      </c>
      <c r="J29" s="147" t="str">
        <f>IF(ISBLANK(TeamInfo!$J$46),"",TeamInfo!$J$46)</f>
        <v/>
      </c>
      <c r="K29" s="147" t="str">
        <f>IF(ISBLANK(TeamInfo!$K$46),"",TeamInfo!$K$46)</f>
        <v/>
      </c>
      <c r="L29" s="149" t="str">
        <f>IF(ISBLANK(TeamInfo!$L$46),"",TeamInfo!$L$46)</f>
        <v/>
      </c>
      <c r="M29" s="231" t="str">
        <f>IF(ISBLANK(TeamInfo!$M$46),"",TeamInfo!$M$46)</f>
        <v/>
      </c>
      <c r="N29" s="231" t="str">
        <f>IF(ISBLANK(TeamInfo!$N$46),"",TeamInfo!$N$46)</f>
        <v/>
      </c>
      <c r="O29" s="231" t="str">
        <f>IF(ISBLANK(TeamInfo!$O$46),"",TeamInfo!$O$46)</f>
        <v/>
      </c>
    </row>
    <row r="30" spans="1:15" s="129" customFormat="1" ht="21.9" customHeight="1" x14ac:dyDescent="0.25">
      <c r="A30" s="56" t="str">
        <f>IF(ISBLANK(TeamInfo!$A$47),"",TeamInfo!$A$47)</f>
        <v>Table Leader 7</v>
      </c>
      <c r="B30" s="230" t="str">
        <f>IF(ISBLANK(TeamInfo!$B$47),"",TeamInfo!$B$47)</f>
        <v>&lt;TL7</v>
      </c>
      <c r="C30" s="230" t="str">
        <f>IF(ISBLANK(TeamInfo!$C$47),"",TeamInfo!$C$47)</f>
        <v>Name&gt;</v>
      </c>
      <c r="D30" s="146" t="str">
        <f>IF(ISBLANK(TeamInfo!$D$47),"",TeamInfo!$D$47)</f>
        <v>Body of Christ</v>
      </c>
      <c r="E30" s="147" t="str">
        <f>IF(ISBLANK(TeamInfo!$E$47),"",TeamInfo!$E$47)</f>
        <v>TABLE6</v>
      </c>
      <c r="F30" s="148" t="str">
        <f t="shared" si="0"/>
        <v>&lt;TL7 Name&gt;</v>
      </c>
      <c r="G30" s="148" t="str">
        <f>IF(ISBLANK(TeamInfo!$G$47),"",TeamInfo!$G$47)</f>
        <v/>
      </c>
      <c r="H30" s="148" t="str">
        <f>IF(ISBLANK(TeamInfo!$H$47),"",TeamInfo!$H$47)</f>
        <v/>
      </c>
      <c r="I30" s="147" t="str">
        <f>IF(ISBLANK(TeamInfo!$I$47),"",TeamInfo!$I$47)</f>
        <v/>
      </c>
      <c r="J30" s="147" t="str">
        <f>IF(ISBLANK(TeamInfo!$J$47),"",TeamInfo!$J$47)</f>
        <v/>
      </c>
      <c r="K30" s="147" t="str">
        <f>IF(ISBLANK(TeamInfo!$K$47),"",TeamInfo!$K$47)</f>
        <v/>
      </c>
      <c r="L30" s="149" t="str">
        <f>IF(ISBLANK(TeamInfo!$L$47),"",TeamInfo!$L$47)</f>
        <v/>
      </c>
      <c r="M30" s="231" t="str">
        <f>IF(ISBLANK(TeamInfo!$M$47),"",TeamInfo!$M$47)</f>
        <v/>
      </c>
      <c r="N30" s="231" t="str">
        <f>IF(ISBLANK(TeamInfo!$N$47),"",TeamInfo!$N$47)</f>
        <v/>
      </c>
      <c r="O30" s="231" t="str">
        <f>IF(ISBLANK(TeamInfo!$O$47),"",TeamInfo!$O$47)</f>
        <v/>
      </c>
    </row>
  </sheetData>
  <mergeCells count="1">
    <mergeCell ref="D2:L2"/>
  </mergeCells>
  <printOptions verticalCentered="1"/>
  <pageMargins left="0.4" right="0.37" top="0.4" bottom="0.36" header="0.3" footer="0.3"/>
  <pageSetup scale="83"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C187"/>
  <sheetViews>
    <sheetView workbookViewId="0"/>
  </sheetViews>
  <sheetFormatPr defaultRowHeight="13.2" x14ac:dyDescent="0.25"/>
  <cols>
    <col min="1" max="1" width="39.5546875" customWidth="1"/>
    <col min="2" max="2" width="28.5546875" customWidth="1"/>
    <col min="3" max="3" width="30.5546875" customWidth="1"/>
  </cols>
  <sheetData>
    <row r="1" spans="1:3" s="152" customFormat="1" ht="117.75" customHeight="1" x14ac:dyDescent="0.25">
      <c r="A1" s="150" t="s">
        <v>359</v>
      </c>
      <c r="B1" s="151" t="s">
        <v>360</v>
      </c>
      <c r="C1" s="151" t="s">
        <v>361</v>
      </c>
    </row>
    <row r="2" spans="1:3" x14ac:dyDescent="0.25">
      <c r="A2" s="153" t="str">
        <f>IF(ISBLANK(TeamInfo!$F$21),"",TeamInfo!$F$21)</f>
        <v>&lt;SD Name&gt;</v>
      </c>
      <c r="B2" s="154"/>
      <c r="C2" s="154"/>
    </row>
    <row r="3" spans="1:3" x14ac:dyDescent="0.25">
      <c r="A3" s="155" t="str">
        <f>IF(ISBLANK(TeamInfo!$G$21),"",TeamInfo!$G$21)</f>
        <v/>
      </c>
      <c r="B3" s="154"/>
      <c r="C3" s="154"/>
    </row>
    <row r="4" spans="1:3" x14ac:dyDescent="0.25">
      <c r="A4" s="155" t="str">
        <f>IF(ISBLANK(TeamInfo!$H$21),"",TeamInfo!$H$21&amp;", "&amp;TeamInfo!$I$21&amp;"  "&amp;TeamInfo!$J$21)</f>
        <v/>
      </c>
      <c r="B4" s="154"/>
      <c r="C4" s="154"/>
    </row>
    <row r="5" spans="1:3" x14ac:dyDescent="0.25">
      <c r="A5" s="155" t="str">
        <f>IF(ISBLANK(TeamInfo!$K$21),"",TeamInfo!$K$21)</f>
        <v/>
      </c>
      <c r="B5" s="154"/>
      <c r="C5" s="154"/>
    </row>
    <row r="6" spans="1:3" x14ac:dyDescent="0.25">
      <c r="A6" s="155" t="str">
        <f>IF(ISBLANK(TeamInfo!$L$21),"",TeamInfo!$L$21)</f>
        <v/>
      </c>
      <c r="B6" s="154"/>
      <c r="C6" s="154"/>
    </row>
    <row r="7" spans="1:3" ht="6" customHeight="1" x14ac:dyDescent="0.25">
      <c r="A7" s="156"/>
      <c r="B7" s="157"/>
      <c r="C7" s="157"/>
    </row>
    <row r="8" spans="1:3" x14ac:dyDescent="0.25">
      <c r="A8" s="153" t="str">
        <f>IF(ISBLANK(TeamInfo!$F$22),"",TeamInfo!$F$22)</f>
        <v>&lt;SD2 Name&gt;</v>
      </c>
      <c r="B8" s="154"/>
      <c r="C8" s="154"/>
    </row>
    <row r="9" spans="1:3" x14ac:dyDescent="0.25">
      <c r="A9" s="155" t="str">
        <f>IF(ISBLANK(TeamInfo!$G$22),"",TeamInfo!$G$22)</f>
        <v/>
      </c>
      <c r="B9" s="154"/>
      <c r="C9" s="154"/>
    </row>
    <row r="10" spans="1:3" x14ac:dyDescent="0.25">
      <c r="A10" s="155" t="str">
        <f>IF(ISBLANK(TeamInfo!$H$22),"",TeamInfo!$H$22&amp;", "&amp;TeamInfo!$I$22&amp;"  "&amp;TeamInfo!$J$22)</f>
        <v/>
      </c>
      <c r="B10" s="154"/>
      <c r="C10" s="154"/>
    </row>
    <row r="11" spans="1:3" x14ac:dyDescent="0.25">
      <c r="A11" s="155" t="str">
        <f>IF(ISBLANK(TeamInfo!$K$22),"",TeamInfo!$K$22)</f>
        <v/>
      </c>
      <c r="B11" s="154"/>
      <c r="C11" s="154"/>
    </row>
    <row r="12" spans="1:3" x14ac:dyDescent="0.25">
      <c r="A12" s="155" t="str">
        <f>IF(ISBLANK(TeamInfo!$L$22),"",TeamInfo!$L$22)</f>
        <v/>
      </c>
      <c r="B12" s="154"/>
      <c r="C12" s="154"/>
    </row>
    <row r="13" spans="1:3" ht="6" customHeight="1" x14ac:dyDescent="0.25">
      <c r="A13" s="156"/>
      <c r="B13" s="157"/>
      <c r="C13" s="157"/>
    </row>
    <row r="14" spans="1:3" ht="12.75" customHeight="1" x14ac:dyDescent="0.25">
      <c r="A14" s="158" t="str">
        <f>IF(ISBLANK(TeamInfo!$F$23),"",TeamInfo!$F$23)</f>
        <v>TBD -  Prevenient</v>
      </c>
      <c r="B14" s="159"/>
      <c r="C14" s="160"/>
    </row>
    <row r="15" spans="1:3" ht="12.75" customHeight="1" x14ac:dyDescent="0.25">
      <c r="A15" s="161" t="str">
        <f>IF(ISBLANK(TeamInfo!$G$23),"",TeamInfo!$G$23)</f>
        <v/>
      </c>
      <c r="B15" s="9"/>
      <c r="C15" s="154"/>
    </row>
    <row r="16" spans="1:3" ht="12.75" customHeight="1" x14ac:dyDescent="0.25">
      <c r="A16" s="162" t="str">
        <f>IF(ISBLANK(TeamInfo!$H$23),"",TeamInfo!$H$23&amp;", "&amp;TeamInfo!$I$23&amp;"  "&amp;TeamInfo!$J$23)</f>
        <v/>
      </c>
      <c r="B16" s="9"/>
      <c r="C16" s="154"/>
    </row>
    <row r="17" spans="1:3" ht="12.75" customHeight="1" x14ac:dyDescent="0.25">
      <c r="A17" s="155" t="str">
        <f>IF(ISBLANK(TeamInfo!$K$23),"",TeamInfo!$K$23)</f>
        <v/>
      </c>
      <c r="B17" s="9"/>
      <c r="C17" s="154"/>
    </row>
    <row r="18" spans="1:3" ht="12.75" customHeight="1" x14ac:dyDescent="0.25">
      <c r="A18" s="163" t="str">
        <f>IF(ISBLANK(TeamInfo!$L$23),"",TeamInfo!$L$23)</f>
        <v/>
      </c>
      <c r="B18" s="164"/>
      <c r="C18" s="165"/>
    </row>
    <row r="19" spans="1:3" ht="6" customHeight="1" x14ac:dyDescent="0.25">
      <c r="A19" s="156"/>
      <c r="B19" s="157"/>
      <c r="C19" s="157"/>
    </row>
    <row r="20" spans="1:3" ht="12.75" customHeight="1" x14ac:dyDescent="0.25">
      <c r="A20" s="158" t="str">
        <f>IF(ISBLANK(TeamInfo!$F$24),"",TeamInfo!$F$24)</f>
        <v>TBD -  Justifying</v>
      </c>
      <c r="B20" s="159"/>
      <c r="C20" s="160"/>
    </row>
    <row r="21" spans="1:3" ht="12.75" customHeight="1" x14ac:dyDescent="0.25">
      <c r="A21" s="162" t="str">
        <f>IF(ISBLANK(TeamInfo!$G$24),"",TeamInfo!$G$24)</f>
        <v/>
      </c>
      <c r="B21" s="9"/>
      <c r="C21" s="154"/>
    </row>
    <row r="22" spans="1:3" ht="12.75" customHeight="1" x14ac:dyDescent="0.25">
      <c r="A22" s="162" t="str">
        <f>IF(ISBLANK(TeamInfo!$H$24),"",TeamInfo!$H$24&amp;", "&amp;TeamInfo!$I$24&amp;"  "&amp;TeamInfo!$J$24)</f>
        <v/>
      </c>
      <c r="B22" s="9"/>
      <c r="C22" s="154"/>
    </row>
    <row r="23" spans="1:3" ht="12.75" customHeight="1" x14ac:dyDescent="0.25">
      <c r="A23" s="155" t="str">
        <f>IF(ISBLANK(TeamInfo!$K$24),"",TeamInfo!$K$24)</f>
        <v/>
      </c>
      <c r="B23" s="9"/>
      <c r="C23" s="154"/>
    </row>
    <row r="24" spans="1:3" ht="12.75" customHeight="1" x14ac:dyDescent="0.25">
      <c r="A24" s="162" t="str">
        <f>IF(ISBLANK(TeamInfo!$L$24),"",TeamInfo!$L$24)</f>
        <v/>
      </c>
      <c r="B24" s="9"/>
      <c r="C24" s="154"/>
    </row>
    <row r="25" spans="1:3" ht="6" customHeight="1" x14ac:dyDescent="0.25">
      <c r="A25" s="156"/>
      <c r="B25" s="166"/>
      <c r="C25" s="157"/>
    </row>
    <row r="26" spans="1:3" ht="12.75" customHeight="1" x14ac:dyDescent="0.25">
      <c r="A26" s="158" t="str">
        <f>IF(ISBLANK(TeamInfo!$F$25),"",TeamInfo!$F$25)</f>
        <v>TBD -  Obstacles</v>
      </c>
      <c r="B26" s="9"/>
      <c r="C26" s="154"/>
    </row>
    <row r="27" spans="1:3" ht="12.75" customHeight="1" x14ac:dyDescent="0.25">
      <c r="A27" s="162" t="str">
        <f>IF(ISBLANK(TeamInfo!$G$25),"",TeamInfo!$G$25)</f>
        <v/>
      </c>
      <c r="B27" s="9"/>
      <c r="C27" s="154"/>
    </row>
    <row r="28" spans="1:3" ht="12.75" customHeight="1" x14ac:dyDescent="0.25">
      <c r="A28" s="162" t="str">
        <f>IF(ISBLANK(TeamInfo!$H$25),"",TeamInfo!$H$25&amp;", "&amp;TeamInfo!$I$25&amp;"  "&amp;TeamInfo!$J$25)</f>
        <v/>
      </c>
      <c r="B28" s="9"/>
      <c r="C28" s="154"/>
    </row>
    <row r="29" spans="1:3" ht="12.75" customHeight="1" x14ac:dyDescent="0.25">
      <c r="A29" s="155" t="str">
        <f>IF(ISBLANK(TeamInfo!$K$25),"",TeamInfo!$K$25)</f>
        <v/>
      </c>
      <c r="B29" s="9"/>
      <c r="C29" s="154"/>
    </row>
    <row r="30" spans="1:3" ht="12.75" customHeight="1" x14ac:dyDescent="0.25">
      <c r="A30" s="162" t="str">
        <f>IF(ISBLANK(TeamInfo!$L$25),"",TeamInfo!$L$25)</f>
        <v/>
      </c>
      <c r="B30" s="9"/>
      <c r="C30" s="154"/>
    </row>
    <row r="31" spans="1:3" ht="6" customHeight="1" x14ac:dyDescent="0.25">
      <c r="A31" s="156"/>
      <c r="B31" s="166"/>
      <c r="C31" s="157"/>
    </row>
    <row r="32" spans="1:3" ht="12.75" customHeight="1" x14ac:dyDescent="0.25">
      <c r="A32" s="158" t="str">
        <f>IF(ISBLANK(TeamInfo!$F$26),"",TeamInfo!$F$26)</f>
        <v>TBD -  Sanctifying</v>
      </c>
      <c r="B32" s="9"/>
      <c r="C32" s="154"/>
    </row>
    <row r="33" spans="1:3" ht="12.75" customHeight="1" x14ac:dyDescent="0.25">
      <c r="A33" s="162" t="str">
        <f>IF(ISBLANK(TeamInfo!$G$26),"",TeamInfo!$G$26)</f>
        <v/>
      </c>
      <c r="B33" s="9"/>
      <c r="C33" s="154"/>
    </row>
    <row r="34" spans="1:3" ht="12.75" customHeight="1" x14ac:dyDescent="0.25">
      <c r="A34" s="162" t="str">
        <f>IF(ISBLANK(TeamInfo!$H$26),"",TeamInfo!$H$26&amp;", "&amp;TeamInfo!$I$26&amp;"  "&amp;TeamInfo!$J$26)</f>
        <v/>
      </c>
      <c r="B34" s="9"/>
      <c r="C34" s="154"/>
    </row>
    <row r="35" spans="1:3" ht="12.75" customHeight="1" x14ac:dyDescent="0.25">
      <c r="A35" s="155" t="str">
        <f>IF(ISBLANK(TeamInfo!$K$26),"",TeamInfo!$K$26)</f>
        <v/>
      </c>
      <c r="B35" s="9"/>
      <c r="C35" s="154"/>
    </row>
    <row r="36" spans="1:3" ht="12.75" customHeight="1" x14ac:dyDescent="0.25">
      <c r="A36" s="162" t="str">
        <f>IF(ISBLANK(TeamInfo!$L$26),"",TeamInfo!$L$26)</f>
        <v/>
      </c>
      <c r="B36" s="9"/>
      <c r="C36" s="154"/>
    </row>
    <row r="37" spans="1:3" ht="6" customHeight="1" x14ac:dyDescent="0.25">
      <c r="A37" s="156"/>
      <c r="B37" s="166"/>
      <c r="C37" s="157"/>
    </row>
    <row r="38" spans="1:3" x14ac:dyDescent="0.25">
      <c r="A38" s="153" t="str">
        <f>IF(ISBLANK(TeamInfo!$F$27),"",TeamInfo!$F$27)</f>
        <v>&lt;LD Name&gt;</v>
      </c>
      <c r="B38" s="154"/>
      <c r="C38" s="154"/>
    </row>
    <row r="39" spans="1:3" x14ac:dyDescent="0.25">
      <c r="A39" s="155" t="str">
        <f>IF(ISBLANK(TeamInfo!$G$27),"",TeamInfo!$G$27)</f>
        <v/>
      </c>
      <c r="B39" s="154"/>
      <c r="C39" s="154"/>
    </row>
    <row r="40" spans="1:3" x14ac:dyDescent="0.25">
      <c r="A40" s="155" t="str">
        <f>IF(ISBLANK(TeamInfo!$H$27),"",TeamInfo!$H$27&amp;", "&amp;TeamInfo!$I$27&amp;"  "&amp;TeamInfo!$J$27)</f>
        <v/>
      </c>
      <c r="B40" s="154"/>
      <c r="C40" s="154"/>
    </row>
    <row r="41" spans="1:3" x14ac:dyDescent="0.25">
      <c r="A41" s="155" t="str">
        <f>IF(ISBLANK(TeamInfo!$K$27),"",TeamInfo!$K$27)</f>
        <v/>
      </c>
      <c r="B41" s="154"/>
      <c r="C41" s="154"/>
    </row>
    <row r="42" spans="1:3" x14ac:dyDescent="0.25">
      <c r="A42" s="155" t="str">
        <f>IF(ISBLANK(TeamInfo!$L$27),"",TeamInfo!$L$27)</f>
        <v/>
      </c>
      <c r="B42" s="154"/>
      <c r="C42" s="154"/>
    </row>
    <row r="43" spans="1:3" ht="6" customHeight="1" x14ac:dyDescent="0.25">
      <c r="A43" s="156"/>
      <c r="B43" s="157"/>
      <c r="C43" s="157"/>
    </row>
    <row r="44" spans="1:3" x14ac:dyDescent="0.25">
      <c r="A44" s="153" t="str">
        <f>IF(ISBLANK(TeamInfo!$F$28),"",TeamInfo!$F$28)</f>
        <v>&lt;ALD1 Name&gt;</v>
      </c>
      <c r="B44" s="154"/>
      <c r="C44" s="154"/>
    </row>
    <row r="45" spans="1:3" x14ac:dyDescent="0.25">
      <c r="A45" s="155" t="str">
        <f>IF(ISBLANK(TeamInfo!$G$28),"",TeamInfo!$G$28)</f>
        <v/>
      </c>
      <c r="B45" s="154"/>
      <c r="C45" s="154"/>
    </row>
    <row r="46" spans="1:3" x14ac:dyDescent="0.25">
      <c r="A46" s="155" t="str">
        <f>IF(ISBLANK(TeamInfo!$H$28),"",TeamInfo!$H$28&amp;", "&amp;TeamInfo!$I$28&amp;"  "&amp;TeamInfo!$J$28)</f>
        <v/>
      </c>
      <c r="B46" s="154"/>
      <c r="C46" s="154"/>
    </row>
    <row r="47" spans="1:3" x14ac:dyDescent="0.25">
      <c r="A47" s="155" t="str">
        <f>IF(ISBLANK(TeamInfo!$K$28),"",TeamInfo!$K$28)</f>
        <v/>
      </c>
      <c r="B47" s="154"/>
      <c r="C47" s="154"/>
    </row>
    <row r="48" spans="1:3" x14ac:dyDescent="0.25">
      <c r="A48" s="155" t="str">
        <f>IF(ISBLANK(TeamInfo!$L$28),"",TeamInfo!$L$28)</f>
        <v/>
      </c>
      <c r="B48" s="154"/>
      <c r="C48" s="154"/>
    </row>
    <row r="49" spans="1:3" ht="6" customHeight="1" x14ac:dyDescent="0.25">
      <c r="A49" s="156"/>
      <c r="B49" s="157"/>
      <c r="C49" s="157"/>
    </row>
    <row r="50" spans="1:3" x14ac:dyDescent="0.25">
      <c r="A50" s="153" t="str">
        <f>IF(ISBLANK(TeamInfo!$F$29),"",TeamInfo!$F$29)</f>
        <v>&lt;ALD2 Name&gt;</v>
      </c>
      <c r="B50" s="154"/>
      <c r="C50" s="154"/>
    </row>
    <row r="51" spans="1:3" x14ac:dyDescent="0.25">
      <c r="A51" s="155" t="str">
        <f>IF(ISBLANK(TeamInfo!$G$29),"",TeamInfo!$G$29)</f>
        <v/>
      </c>
      <c r="B51" s="154"/>
      <c r="C51" s="154"/>
    </row>
    <row r="52" spans="1:3" x14ac:dyDescent="0.25">
      <c r="A52" s="155" t="str">
        <f>IF(ISBLANK(TeamInfo!$H$29),"",TeamInfo!$H$29&amp;", "&amp;TeamInfo!$I$29&amp;"  "&amp;TeamInfo!$J$29)</f>
        <v/>
      </c>
      <c r="B52" s="154"/>
      <c r="C52" s="154"/>
    </row>
    <row r="53" spans="1:3" x14ac:dyDescent="0.25">
      <c r="A53" s="155" t="str">
        <f>IF(ISBLANK(TeamInfo!$K$29),"",TeamInfo!$K$29)</f>
        <v/>
      </c>
      <c r="B53" s="154"/>
      <c r="C53" s="154"/>
    </row>
    <row r="54" spans="1:3" x14ac:dyDescent="0.25">
      <c r="A54" s="155" t="str">
        <f>IF(ISBLANK(TeamInfo!$L$29),"",TeamInfo!$L$29)</f>
        <v/>
      </c>
      <c r="B54" s="154"/>
      <c r="C54" s="154"/>
    </row>
    <row r="55" spans="1:3" ht="6" customHeight="1" x14ac:dyDescent="0.25">
      <c r="A55" s="156"/>
      <c r="B55" s="157"/>
      <c r="C55" s="157"/>
    </row>
    <row r="56" spans="1:3" x14ac:dyDescent="0.25">
      <c r="A56" s="153" t="str">
        <f>IF(ISBLANK(TeamInfo!$F$30),"",TeamInfo!$F$30)</f>
        <v>&lt;ALD3 Name&gt;</v>
      </c>
      <c r="B56" s="154"/>
      <c r="C56" s="154"/>
    </row>
    <row r="57" spans="1:3" x14ac:dyDescent="0.25">
      <c r="A57" s="155" t="str">
        <f>IF(ISBLANK(TeamInfo!$G$30),"",TeamInfo!$G$30)</f>
        <v/>
      </c>
      <c r="B57" s="154"/>
      <c r="C57" s="154"/>
    </row>
    <row r="58" spans="1:3" x14ac:dyDescent="0.25">
      <c r="A58" s="155" t="str">
        <f>IF(ISBLANK(TeamInfo!$H$30),"",TeamInfo!$H$30&amp;", "&amp;TeamInfo!$I$30&amp;"  "&amp;TeamInfo!$J$30)</f>
        <v/>
      </c>
      <c r="B58" s="154"/>
      <c r="C58" s="154"/>
    </row>
    <row r="59" spans="1:3" x14ac:dyDescent="0.25">
      <c r="A59" s="155" t="str">
        <f>IF(ISBLANK(TeamInfo!$K$30),"",TeamInfo!$K$30)</f>
        <v/>
      </c>
      <c r="B59" s="154"/>
      <c r="C59" s="154"/>
    </row>
    <row r="60" spans="1:3" x14ac:dyDescent="0.25">
      <c r="A60" s="155" t="str">
        <f>IF(ISBLANK(TeamInfo!$L$30),"",TeamInfo!$L$30)</f>
        <v/>
      </c>
      <c r="B60" s="154"/>
      <c r="C60" s="154"/>
    </row>
    <row r="61" spans="1:3" ht="8.1" customHeight="1" x14ac:dyDescent="0.25">
      <c r="A61" s="156"/>
      <c r="B61" s="157"/>
      <c r="C61" s="157"/>
    </row>
    <row r="62" spans="1:3" x14ac:dyDescent="0.25">
      <c r="A62" s="153" t="str">
        <f>IF(ISBLANK(TeamInfo!$F$31),"",TeamInfo!$F$31)</f>
        <v>&lt;BR Name&gt;</v>
      </c>
      <c r="B62" s="154"/>
      <c r="C62" s="154"/>
    </row>
    <row r="63" spans="1:3" x14ac:dyDescent="0.25">
      <c r="A63" s="155" t="str">
        <f>IF(ISBLANK(TeamInfo!$G$31),"",TeamInfo!$G$31)</f>
        <v/>
      </c>
      <c r="B63" s="154"/>
      <c r="C63" s="154"/>
    </row>
    <row r="64" spans="1:3" x14ac:dyDescent="0.25">
      <c r="A64" s="155" t="str">
        <f>IF(ISBLANK(TeamInfo!$H$31),"",TeamInfo!$H$31&amp;", "&amp;TeamInfo!$I$31&amp;"  "&amp;TeamInfo!$J$31)</f>
        <v/>
      </c>
      <c r="B64" s="154"/>
      <c r="C64" s="154"/>
    </row>
    <row r="65" spans="1:3" x14ac:dyDescent="0.25">
      <c r="A65" s="155" t="str">
        <f>IF(ISBLANK(TeamInfo!$K$31),"",TeamInfo!$K$31)</f>
        <v/>
      </c>
      <c r="B65" s="154"/>
      <c r="C65" s="154"/>
    </row>
    <row r="66" spans="1:3" x14ac:dyDescent="0.25">
      <c r="A66" s="155" t="str">
        <f>IF(ISBLANK(TeamInfo!$L$31),"",TeamInfo!$L$31)</f>
        <v/>
      </c>
      <c r="B66" s="154"/>
      <c r="C66" s="154"/>
    </row>
    <row r="67" spans="1:3" ht="6" customHeight="1" x14ac:dyDescent="0.25">
      <c r="A67" s="156"/>
      <c r="B67" s="157"/>
      <c r="C67" s="157"/>
    </row>
    <row r="68" spans="1:3" x14ac:dyDescent="0.25">
      <c r="A68" s="153" t="str">
        <f>IF(ISBLANK(TeamInfo!$F$32),"",TeamInfo!$F$32)</f>
        <v>&lt;TD Name&gt;</v>
      </c>
      <c r="B68" s="154"/>
      <c r="C68" s="154"/>
    </row>
    <row r="69" spans="1:3" x14ac:dyDescent="0.25">
      <c r="A69" s="155" t="str">
        <f>IF(ISBLANK(TeamInfo!$G$32),"",TeamInfo!$G$32)</f>
        <v/>
      </c>
      <c r="B69" s="154"/>
      <c r="C69" s="154"/>
    </row>
    <row r="70" spans="1:3" x14ac:dyDescent="0.25">
      <c r="A70" s="155" t="str">
        <f>IF(ISBLANK(TeamInfo!$H$32),"",TeamInfo!$H$32&amp;", "&amp;TeamInfo!$I$32&amp;"  "&amp;TeamInfo!$J$32)</f>
        <v/>
      </c>
      <c r="B70" s="154"/>
      <c r="C70" s="154"/>
    </row>
    <row r="71" spans="1:3" x14ac:dyDescent="0.25">
      <c r="A71" s="155" t="str">
        <f>IF(ISBLANK(TeamInfo!$K$32),"",TeamInfo!$K$32)</f>
        <v/>
      </c>
      <c r="B71" s="154"/>
      <c r="C71" s="154"/>
    </row>
    <row r="72" spans="1:3" x14ac:dyDescent="0.25">
      <c r="A72" s="155" t="str">
        <f>IF(ISBLANK(TeamInfo!$L$32),"",TeamInfo!$L$32)</f>
        <v/>
      </c>
      <c r="B72" s="154"/>
      <c r="C72" s="154"/>
    </row>
    <row r="73" spans="1:3" ht="6" customHeight="1" x14ac:dyDescent="0.25">
      <c r="A73" s="156"/>
      <c r="B73" s="157"/>
      <c r="C73" s="157"/>
    </row>
    <row r="74" spans="1:3" x14ac:dyDescent="0.25">
      <c r="A74" s="153" t="str">
        <f>IF(ISBLANK(TeamInfo!$F$33),"",TeamInfo!$F$33)</f>
        <v>&lt;TD2 Name&gt;</v>
      </c>
      <c r="B74" s="154"/>
      <c r="C74" s="154"/>
    </row>
    <row r="75" spans="1:3" x14ac:dyDescent="0.25">
      <c r="A75" s="155" t="str">
        <f>IF(ISBLANK(TeamInfo!$G$33),"",TeamInfo!$G$33)</f>
        <v/>
      </c>
      <c r="B75" s="154"/>
      <c r="C75" s="154"/>
    </row>
    <row r="76" spans="1:3" x14ac:dyDescent="0.25">
      <c r="A76" s="155" t="str">
        <f>IF(ISBLANK(TeamInfo!$H$33),"",TeamInfo!$H$33&amp;", "&amp;TeamInfo!$I$33&amp;"  "&amp;TeamInfo!$J$33)</f>
        <v/>
      </c>
      <c r="B76" s="154"/>
      <c r="C76" s="154"/>
    </row>
    <row r="77" spans="1:3" x14ac:dyDescent="0.25">
      <c r="A77" s="155" t="str">
        <f>IF(ISBLANK(TeamInfo!$K$33),"",TeamInfo!$K$33)</f>
        <v/>
      </c>
      <c r="B77" s="154"/>
      <c r="C77" s="154"/>
    </row>
    <row r="78" spans="1:3" x14ac:dyDescent="0.25">
      <c r="A78" s="155" t="str">
        <f>IF(ISBLANK(TeamInfo!$L$33),"",TeamInfo!$L$33)</f>
        <v/>
      </c>
      <c r="B78" s="154"/>
      <c r="C78" s="154"/>
    </row>
    <row r="79" spans="1:3" ht="6" customHeight="1" x14ac:dyDescent="0.25">
      <c r="A79" s="156"/>
      <c r="B79" s="157"/>
      <c r="C79" s="157"/>
    </row>
    <row r="80" spans="1:3" x14ac:dyDescent="0.25">
      <c r="A80" s="153" t="str">
        <f>IF(ISBLANK(TeamInfo!$F$34),"",TeamInfo!$F$34)</f>
        <v>&lt;MD Name&gt;</v>
      </c>
      <c r="B80" s="154"/>
      <c r="C80" s="154"/>
    </row>
    <row r="81" spans="1:3" x14ac:dyDescent="0.25">
      <c r="A81" s="155" t="str">
        <f>IF(ISBLANK(TeamInfo!$G$34),"",TeamInfo!$G$34)</f>
        <v/>
      </c>
      <c r="B81" s="154"/>
      <c r="C81" s="154"/>
    </row>
    <row r="82" spans="1:3" x14ac:dyDescent="0.25">
      <c r="A82" s="155" t="str">
        <f>IF(ISBLANK(TeamInfo!$H$34),"",TeamInfo!$H$34&amp;", "&amp;TeamInfo!$I$34&amp;"  "&amp;TeamInfo!$J$34)</f>
        <v/>
      </c>
      <c r="B82" s="154"/>
      <c r="C82" s="154"/>
    </row>
    <row r="83" spans="1:3" x14ac:dyDescent="0.25">
      <c r="A83" s="155" t="str">
        <f>IF(ISBLANK(TeamInfo!$K$34),"",TeamInfo!$K$34)</f>
        <v/>
      </c>
      <c r="B83" s="154"/>
      <c r="C83" s="154"/>
    </row>
    <row r="84" spans="1:3" x14ac:dyDescent="0.25">
      <c r="A84" s="155" t="str">
        <f>IF(ISBLANK(TeamInfo!$L$34),"",TeamInfo!$L$34)</f>
        <v/>
      </c>
      <c r="B84" s="154"/>
      <c r="C84" s="154"/>
    </row>
    <row r="85" spans="1:3" ht="6" customHeight="1" x14ac:dyDescent="0.25">
      <c r="A85" s="156"/>
      <c r="B85" s="157"/>
      <c r="C85" s="157"/>
    </row>
    <row r="86" spans="1:3" x14ac:dyDescent="0.25">
      <c r="A86" s="153" t="str">
        <f>IF(ISBLANK(TeamInfo!$F$35),"",TeamInfo!$F$35)</f>
        <v>&lt;MD2 Name&gt;</v>
      </c>
      <c r="B86" s="154"/>
      <c r="C86" s="154"/>
    </row>
    <row r="87" spans="1:3" x14ac:dyDescent="0.25">
      <c r="A87" s="155" t="str">
        <f>IF(ISBLANK(TeamInfo!$G$35),"",TeamInfo!$G$35)</f>
        <v/>
      </c>
      <c r="B87" s="154"/>
      <c r="C87" s="154"/>
    </row>
    <row r="88" spans="1:3" x14ac:dyDescent="0.25">
      <c r="A88" s="155" t="str">
        <f>IF(ISBLANK(TeamInfo!$H$35),"",TeamInfo!$H$35&amp;", "&amp;TeamInfo!$I$35&amp;"  "&amp;TeamInfo!$J$35)</f>
        <v/>
      </c>
      <c r="B88" s="154"/>
      <c r="C88" s="154"/>
    </row>
    <row r="89" spans="1:3" x14ac:dyDescent="0.25">
      <c r="A89" s="155" t="str">
        <f>IF(ISBLANK(TeamInfo!$K$35),"",TeamInfo!$K$35)</f>
        <v/>
      </c>
      <c r="B89" s="154"/>
      <c r="C89" s="154"/>
    </row>
    <row r="90" spans="1:3" x14ac:dyDescent="0.25">
      <c r="A90" s="155" t="str">
        <f>IF(ISBLANK(TeamInfo!$L$35),"",TeamInfo!$L$35)</f>
        <v/>
      </c>
      <c r="B90" s="154"/>
      <c r="C90" s="154"/>
    </row>
    <row r="91" spans="1:3" ht="6" customHeight="1" x14ac:dyDescent="0.25">
      <c r="A91" s="156"/>
      <c r="B91" s="157"/>
      <c r="C91" s="157"/>
    </row>
    <row r="92" spans="1:3" x14ac:dyDescent="0.25">
      <c r="A92" s="153" t="str">
        <f>IF(ISBLANK(TeamInfo!$F$36),"",TeamInfo!$F$36)</f>
        <v>&lt;TL1 Name&gt;</v>
      </c>
      <c r="B92" s="154"/>
      <c r="C92" s="154"/>
    </row>
    <row r="93" spans="1:3" x14ac:dyDescent="0.25">
      <c r="A93" s="155" t="str">
        <f>IF(ISBLANK(TeamInfo!$G$36),"",TeamInfo!$G$36)</f>
        <v/>
      </c>
      <c r="B93" s="154"/>
      <c r="C93" s="154"/>
    </row>
    <row r="94" spans="1:3" x14ac:dyDescent="0.25">
      <c r="A94" s="155" t="str">
        <f>IF(ISBLANK(TeamInfo!$H$36),"",TeamInfo!$H$36&amp;", "&amp;TeamInfo!$I$36&amp;"  "&amp;TeamInfo!$J$36)</f>
        <v/>
      </c>
      <c r="B94" s="154"/>
      <c r="C94" s="154"/>
    </row>
    <row r="95" spans="1:3" x14ac:dyDescent="0.25">
      <c r="A95" s="155" t="str">
        <f>IF(ISBLANK(TeamInfo!$K$36),"",TeamInfo!$K$36)</f>
        <v/>
      </c>
      <c r="B95" s="154"/>
      <c r="C95" s="154"/>
    </row>
    <row r="96" spans="1:3" x14ac:dyDescent="0.25">
      <c r="A96" s="155" t="str">
        <f>IF(ISBLANK(TeamInfo!$L$36),"",TeamInfo!$L$36)</f>
        <v/>
      </c>
      <c r="B96" s="154"/>
      <c r="C96" s="154"/>
    </row>
    <row r="97" spans="1:3" ht="6" customHeight="1" x14ac:dyDescent="0.25">
      <c r="A97" s="156"/>
      <c r="B97" s="157"/>
      <c r="C97" s="157"/>
    </row>
    <row r="98" spans="1:3" x14ac:dyDescent="0.25">
      <c r="A98" s="153" t="str">
        <f>IF(ISBLANK(TeamInfo!$F$37),"",TeamInfo!$F$37)</f>
        <v>&lt;ATL1 Name&gt;</v>
      </c>
      <c r="B98" s="154"/>
      <c r="C98" s="154"/>
    </row>
    <row r="99" spans="1:3" x14ac:dyDescent="0.25">
      <c r="A99" s="155" t="str">
        <f>IF(ISBLANK(TeamInfo!$G$37),"",TeamInfo!$G$37)</f>
        <v/>
      </c>
      <c r="B99" s="154"/>
      <c r="C99" s="154"/>
    </row>
    <row r="100" spans="1:3" x14ac:dyDescent="0.25">
      <c r="A100" s="155" t="str">
        <f>IF(ISBLANK(TeamInfo!$H$37),"",TeamInfo!$H$37&amp;", "&amp;TeamInfo!$I$37&amp;"  "&amp;TeamInfo!$J$37)</f>
        <v/>
      </c>
      <c r="B100" s="154"/>
      <c r="C100" s="154"/>
    </row>
    <row r="101" spans="1:3" x14ac:dyDescent="0.25">
      <c r="A101" s="155" t="str">
        <f>IF(ISBLANK(TeamInfo!$K$37),"",TeamInfo!$K$37)</f>
        <v/>
      </c>
      <c r="B101" s="154"/>
      <c r="C101" s="154"/>
    </row>
    <row r="102" spans="1:3" x14ac:dyDescent="0.25">
      <c r="A102" s="155" t="str">
        <f>IF(ISBLANK(TeamInfo!$L$37),"",TeamInfo!$L$37)</f>
        <v/>
      </c>
      <c r="B102" s="154"/>
      <c r="C102" s="154"/>
    </row>
    <row r="103" spans="1:3" ht="6" customHeight="1" x14ac:dyDescent="0.25">
      <c r="A103" s="156"/>
      <c r="B103" s="157"/>
      <c r="C103" s="157"/>
    </row>
    <row r="104" spans="1:3" x14ac:dyDescent="0.25">
      <c r="A104" s="153" t="str">
        <f>IF(ISBLANK(TeamInfo!$F$38),"",TeamInfo!$F$38)</f>
        <v>&lt;TL2 Name&gt;</v>
      </c>
      <c r="B104" s="154"/>
      <c r="C104" s="154"/>
    </row>
    <row r="105" spans="1:3" x14ac:dyDescent="0.25">
      <c r="A105" s="155" t="str">
        <f>IF(ISBLANK(TeamInfo!$G$38),"",TeamInfo!$G$38)</f>
        <v/>
      </c>
      <c r="B105" s="154"/>
      <c r="C105" s="154"/>
    </row>
    <row r="106" spans="1:3" x14ac:dyDescent="0.25">
      <c r="A106" s="155" t="str">
        <f>IF(ISBLANK(TeamInfo!$H$38),"",TeamInfo!$H$38&amp;", "&amp;TeamInfo!$I$38&amp;"  "&amp;TeamInfo!$J$38)</f>
        <v/>
      </c>
      <c r="B106" s="154"/>
      <c r="C106" s="154"/>
    </row>
    <row r="107" spans="1:3" x14ac:dyDescent="0.25">
      <c r="A107" s="155" t="str">
        <f>IF(ISBLANK(TeamInfo!$K$38),"",TeamInfo!$K$38)</f>
        <v/>
      </c>
      <c r="B107" s="154"/>
      <c r="C107" s="154"/>
    </row>
    <row r="108" spans="1:3" x14ac:dyDescent="0.25">
      <c r="A108" s="155" t="str">
        <f>IF(ISBLANK(TeamInfo!$L$38),"",TeamInfo!$L$38)</f>
        <v/>
      </c>
      <c r="B108" s="154"/>
      <c r="C108" s="154"/>
    </row>
    <row r="109" spans="1:3" ht="6" customHeight="1" x14ac:dyDescent="0.25">
      <c r="A109" s="156"/>
      <c r="B109" s="157"/>
      <c r="C109" s="157"/>
    </row>
    <row r="110" spans="1:3" x14ac:dyDescent="0.25">
      <c r="A110" s="153" t="str">
        <f>IF(ISBLANK(TeamInfo!$F$39),"",TeamInfo!$F$39)</f>
        <v>&lt;ATL2 Name&gt;</v>
      </c>
      <c r="B110" s="154"/>
      <c r="C110" s="154"/>
    </row>
    <row r="111" spans="1:3" x14ac:dyDescent="0.25">
      <c r="A111" s="155" t="str">
        <f>IF(ISBLANK(TeamInfo!$G$39),"",TeamInfo!$G$39)</f>
        <v/>
      </c>
      <c r="B111" s="154"/>
      <c r="C111" s="154"/>
    </row>
    <row r="112" spans="1:3" x14ac:dyDescent="0.25">
      <c r="A112" s="155" t="str">
        <f>IF(ISBLANK(TeamInfo!$H$39),"",TeamInfo!$H$39&amp;", "&amp;TeamInfo!$I$39&amp;"  "&amp;TeamInfo!$J$39)</f>
        <v/>
      </c>
      <c r="B112" s="154"/>
      <c r="C112" s="154"/>
    </row>
    <row r="113" spans="1:3" x14ac:dyDescent="0.25">
      <c r="A113" s="155" t="str">
        <f>IF(ISBLANK(TeamInfo!$K$39),"",TeamInfo!$K$39)</f>
        <v/>
      </c>
      <c r="B113" s="154"/>
      <c r="C113" s="154"/>
    </row>
    <row r="114" spans="1:3" x14ac:dyDescent="0.25">
      <c r="A114" s="155" t="str">
        <f>IF(ISBLANK(TeamInfo!$L$39),"",TeamInfo!$L$39)</f>
        <v/>
      </c>
      <c r="B114" s="154"/>
      <c r="C114" s="154"/>
    </row>
    <row r="115" spans="1:3" ht="6" customHeight="1" x14ac:dyDescent="0.25">
      <c r="A115" s="156"/>
      <c r="B115" s="157"/>
      <c r="C115" s="157"/>
    </row>
    <row r="116" spans="1:3" x14ac:dyDescent="0.25">
      <c r="A116" s="153" t="str">
        <f>IF(ISBLANK(TeamInfo!$F$40),"",TeamInfo!$F$40)</f>
        <v>&lt;TL3 Name&gt;</v>
      </c>
      <c r="B116" s="154"/>
      <c r="C116" s="154"/>
    </row>
    <row r="117" spans="1:3" x14ac:dyDescent="0.25">
      <c r="A117" s="155" t="str">
        <f>IF(ISBLANK(TeamInfo!$G$40),"",TeamInfo!$G$40)</f>
        <v/>
      </c>
      <c r="B117" s="154"/>
      <c r="C117" s="154"/>
    </row>
    <row r="118" spans="1:3" x14ac:dyDescent="0.25">
      <c r="A118" s="155" t="str">
        <f>IF(ISBLANK(TeamInfo!$H$40),"",TeamInfo!$H$40&amp;", "&amp;TeamInfo!$I$40&amp;"  "&amp;TeamInfo!$J$40)</f>
        <v/>
      </c>
      <c r="B118" s="154"/>
      <c r="C118" s="154"/>
    </row>
    <row r="119" spans="1:3" x14ac:dyDescent="0.25">
      <c r="A119" s="155" t="str">
        <f>IF(ISBLANK(TeamInfo!$K$40),"",TeamInfo!$K$40)</f>
        <v/>
      </c>
      <c r="B119" s="154"/>
      <c r="C119" s="154"/>
    </row>
    <row r="120" spans="1:3" x14ac:dyDescent="0.25">
      <c r="A120" s="155" t="str">
        <f>IF(ISBLANK(TeamInfo!$L$40),"",TeamInfo!$L$40)</f>
        <v/>
      </c>
      <c r="B120" s="154"/>
      <c r="C120" s="154"/>
    </row>
    <row r="121" spans="1:3" ht="6" customHeight="1" x14ac:dyDescent="0.25">
      <c r="A121" s="156"/>
      <c r="B121" s="157"/>
      <c r="C121" s="157"/>
    </row>
    <row r="122" spans="1:3" x14ac:dyDescent="0.25">
      <c r="A122" s="153" t="str">
        <f>IF(ISBLANK(TeamInfo!$F$41),"",TeamInfo!$F$41)</f>
        <v>&lt;ATL3 Name&gt;</v>
      </c>
      <c r="B122" s="154"/>
      <c r="C122" s="154"/>
    </row>
    <row r="123" spans="1:3" x14ac:dyDescent="0.25">
      <c r="A123" s="155" t="str">
        <f>IF(ISBLANK(TeamInfo!$G$41),"",TeamInfo!$G$41)</f>
        <v/>
      </c>
      <c r="B123" s="154"/>
      <c r="C123" s="154"/>
    </row>
    <row r="124" spans="1:3" x14ac:dyDescent="0.25">
      <c r="A124" s="155" t="str">
        <f>IF(ISBLANK(TeamInfo!$H$41),"",TeamInfo!$H$41&amp;", "&amp;TeamInfo!$I$41&amp;"  "&amp;TeamInfo!$J$41)</f>
        <v/>
      </c>
      <c r="B124" s="154"/>
      <c r="C124" s="154"/>
    </row>
    <row r="125" spans="1:3" x14ac:dyDescent="0.25">
      <c r="A125" s="155" t="str">
        <f>IF(ISBLANK(TeamInfo!$K$41),"",TeamInfo!$K$41)</f>
        <v/>
      </c>
      <c r="B125" s="154"/>
      <c r="C125" s="154"/>
    </row>
    <row r="126" spans="1:3" x14ac:dyDescent="0.25">
      <c r="A126" s="155" t="str">
        <f>IF(ISBLANK(TeamInfo!$L$41),"",TeamInfo!$L$41)</f>
        <v/>
      </c>
      <c r="B126" s="154"/>
      <c r="C126" s="154"/>
    </row>
    <row r="127" spans="1:3" ht="6" customHeight="1" x14ac:dyDescent="0.25">
      <c r="A127" s="156"/>
      <c r="B127" s="157"/>
      <c r="C127" s="157"/>
    </row>
    <row r="128" spans="1:3" x14ac:dyDescent="0.25">
      <c r="A128" s="153" t="str">
        <f>IF(ISBLANK(TeamInfo!$F$42),"",TeamInfo!$F$42)</f>
        <v>&lt;TL4 Name&gt;</v>
      </c>
      <c r="B128" s="154"/>
      <c r="C128" s="154"/>
    </row>
    <row r="129" spans="1:3" x14ac:dyDescent="0.25">
      <c r="A129" s="155" t="str">
        <f>IF(ISBLANK(TeamInfo!$G$42),"",TeamInfo!$G$42)</f>
        <v/>
      </c>
      <c r="B129" s="154"/>
      <c r="C129" s="154"/>
    </row>
    <row r="130" spans="1:3" x14ac:dyDescent="0.25">
      <c r="A130" s="155" t="str">
        <f>IF(ISBLANK(TeamInfo!$H$42),"",TeamInfo!$H$42&amp;", "&amp;TeamInfo!$I$42&amp;"  "&amp;TeamInfo!$J$42)</f>
        <v/>
      </c>
      <c r="B130" s="154"/>
      <c r="C130" s="154"/>
    </row>
    <row r="131" spans="1:3" x14ac:dyDescent="0.25">
      <c r="A131" s="155" t="str">
        <f>IF(ISBLANK(TeamInfo!$K$42),"",TeamInfo!$K$42)</f>
        <v/>
      </c>
      <c r="B131" s="154"/>
      <c r="C131" s="154"/>
    </row>
    <row r="132" spans="1:3" x14ac:dyDescent="0.25">
      <c r="A132" s="155" t="str">
        <f>IF(ISBLANK(TeamInfo!$L$42),"",TeamInfo!$L$42)</f>
        <v/>
      </c>
      <c r="B132" s="154"/>
      <c r="C132" s="154"/>
    </row>
    <row r="133" spans="1:3" ht="6" customHeight="1" x14ac:dyDescent="0.25">
      <c r="A133" s="156"/>
      <c r="B133" s="157"/>
      <c r="C133" s="157"/>
    </row>
    <row r="134" spans="1:3" x14ac:dyDescent="0.25">
      <c r="A134" s="153" t="str">
        <f>IF(ISBLANK(TeamInfo!$F$43),"",TeamInfo!$F$43)</f>
        <v>&lt;ATL4 Name&gt;</v>
      </c>
      <c r="B134" s="154"/>
      <c r="C134" s="154"/>
    </row>
    <row r="135" spans="1:3" x14ac:dyDescent="0.25">
      <c r="A135" s="155" t="str">
        <f>IF(ISBLANK(TeamInfo!$G$43),"",TeamInfo!$G$43)</f>
        <v/>
      </c>
      <c r="B135" s="154"/>
      <c r="C135" s="154"/>
    </row>
    <row r="136" spans="1:3" x14ac:dyDescent="0.25">
      <c r="A136" s="155" t="str">
        <f>IF(ISBLANK(TeamInfo!$H$43),"",TeamInfo!$H$43&amp;", "&amp;TeamInfo!$I$43&amp;"  "&amp;TeamInfo!$J$43)</f>
        <v/>
      </c>
      <c r="B136" s="154"/>
      <c r="C136" s="154"/>
    </row>
    <row r="137" spans="1:3" x14ac:dyDescent="0.25">
      <c r="A137" s="155" t="str">
        <f>IF(ISBLANK(TeamInfo!$K$43),"",TeamInfo!$K$43)</f>
        <v/>
      </c>
      <c r="B137" s="154"/>
      <c r="C137" s="154"/>
    </row>
    <row r="138" spans="1:3" x14ac:dyDescent="0.25">
      <c r="A138" s="155" t="str">
        <f>IF(ISBLANK(TeamInfo!$L$43),"",TeamInfo!$L$43)</f>
        <v/>
      </c>
      <c r="B138" s="154"/>
      <c r="C138" s="154"/>
    </row>
    <row r="139" spans="1:3" ht="6" customHeight="1" x14ac:dyDescent="0.25">
      <c r="A139" s="156"/>
      <c r="B139" s="157"/>
      <c r="C139" s="157"/>
    </row>
    <row r="140" spans="1:3" x14ac:dyDescent="0.25">
      <c r="A140" s="153" t="str">
        <f>IF(ISBLANK(TeamInfo!$F$44),"",TeamInfo!$F$44)</f>
        <v>&lt;TL5 Name&gt;</v>
      </c>
      <c r="B140" s="154"/>
      <c r="C140" s="154"/>
    </row>
    <row r="141" spans="1:3" x14ac:dyDescent="0.25">
      <c r="A141" s="155" t="str">
        <f>IF(ISBLANK(TeamInfo!$G$44),"",TeamInfo!$G$44)</f>
        <v/>
      </c>
      <c r="B141" s="154"/>
      <c r="C141" s="154"/>
    </row>
    <row r="142" spans="1:3" x14ac:dyDescent="0.25">
      <c r="A142" s="155" t="str">
        <f>IF(ISBLANK(TeamInfo!$H$44),"",TeamInfo!$H$44&amp;", "&amp;TeamInfo!$I$44&amp;"  "&amp;TeamInfo!$J$44)</f>
        <v/>
      </c>
      <c r="B142" s="154"/>
      <c r="C142" s="154"/>
    </row>
    <row r="143" spans="1:3" x14ac:dyDescent="0.25">
      <c r="A143" s="155" t="str">
        <f>IF(ISBLANK(TeamInfo!$K$44),"",TeamInfo!$K$44)</f>
        <v/>
      </c>
      <c r="B143" s="154"/>
      <c r="C143" s="154"/>
    </row>
    <row r="144" spans="1:3" x14ac:dyDescent="0.25">
      <c r="A144" s="155" t="str">
        <f>IF(ISBLANK(TeamInfo!$L$44),"",TeamInfo!$L$44)</f>
        <v/>
      </c>
      <c r="B144" s="154"/>
      <c r="C144" s="154"/>
    </row>
    <row r="145" spans="1:3" ht="6" customHeight="1" x14ac:dyDescent="0.25">
      <c r="A145" s="156"/>
      <c r="B145" s="157"/>
      <c r="C145" s="157"/>
    </row>
    <row r="146" spans="1:3" x14ac:dyDescent="0.25">
      <c r="A146" s="153" t="str">
        <f>IF(ISBLANK(TeamInfo!$F$45),"",TeamInfo!$F$45)</f>
        <v>&lt;ATL5 Name&gt;</v>
      </c>
      <c r="B146" s="154"/>
      <c r="C146" s="154"/>
    </row>
    <row r="147" spans="1:3" x14ac:dyDescent="0.25">
      <c r="A147" s="155" t="str">
        <f>IF(ISBLANK(TeamInfo!$G$45),"",TeamInfo!$G$45)</f>
        <v/>
      </c>
      <c r="B147" s="154"/>
      <c r="C147" s="154"/>
    </row>
    <row r="148" spans="1:3" x14ac:dyDescent="0.25">
      <c r="A148" s="155" t="str">
        <f>IF(ISBLANK(TeamInfo!$H$45),"",TeamInfo!$H$45&amp;", "&amp;TeamInfo!$I$45&amp;"  "&amp;TeamInfo!$J$45)</f>
        <v/>
      </c>
      <c r="B148" s="154"/>
      <c r="C148" s="154"/>
    </row>
    <row r="149" spans="1:3" x14ac:dyDescent="0.25">
      <c r="A149" s="155" t="str">
        <f>IF(ISBLANK(TeamInfo!$K$45),"",TeamInfo!$K$45)</f>
        <v/>
      </c>
      <c r="B149" s="154"/>
      <c r="C149" s="154"/>
    </row>
    <row r="150" spans="1:3" x14ac:dyDescent="0.25">
      <c r="A150" s="155" t="str">
        <f>IF(ISBLANK(TeamInfo!$L$45),"",TeamInfo!$L$45)</f>
        <v/>
      </c>
      <c r="B150" s="154"/>
      <c r="C150" s="154"/>
    </row>
    <row r="151" spans="1:3" ht="6" customHeight="1" x14ac:dyDescent="0.25">
      <c r="A151" s="156"/>
      <c r="B151" s="157"/>
      <c r="C151" s="157"/>
    </row>
    <row r="152" spans="1:3" x14ac:dyDescent="0.25">
      <c r="A152" s="153" t="str">
        <f>IF(ISBLANK(TeamInfo!$F$46),"",TeamInfo!$F$46)</f>
        <v>&lt;TL6 Name&gt;</v>
      </c>
      <c r="B152" s="154"/>
      <c r="C152" s="154"/>
    </row>
    <row r="153" spans="1:3" x14ac:dyDescent="0.25">
      <c r="A153" s="155" t="str">
        <f>IF(ISBLANK(TeamInfo!$G$46),"",TeamInfo!$G$46)</f>
        <v/>
      </c>
      <c r="B153" s="154"/>
      <c r="C153" s="154"/>
    </row>
    <row r="154" spans="1:3" x14ac:dyDescent="0.25">
      <c r="A154" s="155" t="str">
        <f>IF(ISBLANK(TeamInfo!$H$46),"",TeamInfo!$H$46&amp;", "&amp;TeamInfo!$I$46&amp;"  "&amp;TeamInfo!$J$46)</f>
        <v/>
      </c>
      <c r="B154" s="154"/>
      <c r="C154" s="154"/>
    </row>
    <row r="155" spans="1:3" x14ac:dyDescent="0.25">
      <c r="A155" s="155" t="str">
        <f>IF(ISBLANK(TeamInfo!$K$46),"",TeamInfo!$K$46)</f>
        <v/>
      </c>
      <c r="B155" s="154"/>
      <c r="C155" s="154"/>
    </row>
    <row r="156" spans="1:3" x14ac:dyDescent="0.25">
      <c r="A156" s="155" t="str">
        <f>IF(ISBLANK(TeamInfo!$L$46),"",TeamInfo!$L$46)</f>
        <v/>
      </c>
      <c r="B156" s="154"/>
      <c r="C156" s="154"/>
    </row>
    <row r="157" spans="1:3" ht="6" customHeight="1" x14ac:dyDescent="0.25">
      <c r="A157" s="156"/>
      <c r="B157" s="157"/>
      <c r="C157" s="157"/>
    </row>
    <row r="158" spans="1:3" x14ac:dyDescent="0.25">
      <c r="A158" s="153" t="str">
        <f>IF(ISBLANK(TeamInfo!$F$47),"",TeamInfo!$F$47)</f>
        <v>&lt;TL7 Name&gt;</v>
      </c>
      <c r="B158" s="154"/>
      <c r="C158" s="154"/>
    </row>
    <row r="159" spans="1:3" x14ac:dyDescent="0.25">
      <c r="A159" s="155" t="str">
        <f>IF(ISBLANK(TeamInfo!$G$47),"",TeamInfo!$G$47)</f>
        <v/>
      </c>
      <c r="B159" s="154"/>
      <c r="C159" s="154"/>
    </row>
    <row r="160" spans="1:3" x14ac:dyDescent="0.25">
      <c r="A160" s="155" t="str">
        <f>IF(ISBLANK(TeamInfo!$H$47),"",TeamInfo!$H$47&amp;", "&amp;TeamInfo!$I$47&amp;"  "&amp;TeamInfo!$J$47)</f>
        <v/>
      </c>
      <c r="B160" s="154"/>
      <c r="C160" s="154"/>
    </row>
    <row r="161" spans="1:3" x14ac:dyDescent="0.25">
      <c r="A161" s="155" t="str">
        <f>IF(ISBLANK(TeamInfo!$K$47),"",TeamInfo!$K$47)</f>
        <v/>
      </c>
      <c r="B161" s="154"/>
      <c r="C161" s="154"/>
    </row>
    <row r="162" spans="1:3" x14ac:dyDescent="0.25">
      <c r="A162" s="155" t="str">
        <f>IF(ISBLANK(TeamInfo!$L$47),"",TeamInfo!$L$47)</f>
        <v/>
      </c>
      <c r="B162" s="154"/>
      <c r="C162" s="154"/>
    </row>
    <row r="163" spans="1:3" ht="6" customHeight="1" x14ac:dyDescent="0.25">
      <c r="A163" s="156"/>
      <c r="B163" s="157"/>
      <c r="C163" s="157"/>
    </row>
    <row r="164" spans="1:3" ht="12.75" customHeight="1" x14ac:dyDescent="0.25">
      <c r="A164" t="s">
        <v>358</v>
      </c>
    </row>
    <row r="165" spans="1:3" ht="12.75" customHeight="1" x14ac:dyDescent="0.25">
      <c r="A165" t="s">
        <v>358</v>
      </c>
    </row>
    <row r="166" spans="1:3" ht="12.75" customHeight="1" x14ac:dyDescent="0.25">
      <c r="A166" t="s">
        <v>358</v>
      </c>
    </row>
    <row r="167" spans="1:3" ht="12.75" customHeight="1" x14ac:dyDescent="0.25">
      <c r="A167" t="s">
        <v>358</v>
      </c>
    </row>
    <row r="168" spans="1:3" ht="12.75" customHeight="1" x14ac:dyDescent="0.25">
      <c r="A168" t="s">
        <v>358</v>
      </c>
    </row>
    <row r="169" spans="1:3" ht="12.75" customHeight="1" x14ac:dyDescent="0.25"/>
    <row r="170" spans="1:3" ht="12.75" customHeight="1" x14ac:dyDescent="0.25">
      <c r="A170" t="s">
        <v>358</v>
      </c>
    </row>
    <row r="171" spans="1:3" ht="12.75" customHeight="1" x14ac:dyDescent="0.25">
      <c r="A171" t="s">
        <v>358</v>
      </c>
    </row>
    <row r="172" spans="1:3" ht="12.75" customHeight="1" x14ac:dyDescent="0.25">
      <c r="A172" t="s">
        <v>358</v>
      </c>
    </row>
    <row r="173" spans="1:3" ht="12.75" customHeight="1" x14ac:dyDescent="0.25">
      <c r="A173" t="s">
        <v>358</v>
      </c>
    </row>
    <row r="174" spans="1:3" ht="12.75" customHeight="1" x14ac:dyDescent="0.25">
      <c r="A174" t="s">
        <v>358</v>
      </c>
    </row>
    <row r="175" spans="1:3" ht="12.75" customHeight="1" x14ac:dyDescent="0.25"/>
    <row r="176" spans="1:3" ht="12.75" customHeight="1" x14ac:dyDescent="0.25">
      <c r="A176" t="s">
        <v>358</v>
      </c>
    </row>
    <row r="177" spans="1:1" ht="12.75" customHeight="1" x14ac:dyDescent="0.25">
      <c r="A177" t="s">
        <v>358</v>
      </c>
    </row>
    <row r="178" spans="1:1" ht="12.75" customHeight="1" x14ac:dyDescent="0.25">
      <c r="A178" t="s">
        <v>358</v>
      </c>
    </row>
    <row r="179" spans="1:1" ht="12.75" customHeight="1" x14ac:dyDescent="0.25">
      <c r="A179" t="s">
        <v>358</v>
      </c>
    </row>
    <row r="180" spans="1:1" ht="12.75" customHeight="1" x14ac:dyDescent="0.25">
      <c r="A180" t="s">
        <v>358</v>
      </c>
    </row>
    <row r="181" spans="1:1" ht="12.75" customHeight="1" x14ac:dyDescent="0.25"/>
    <row r="182" spans="1:1" ht="12.75" customHeight="1" x14ac:dyDescent="0.25">
      <c r="A182" t="s">
        <v>358</v>
      </c>
    </row>
    <row r="183" spans="1:1" ht="12.75" customHeight="1" x14ac:dyDescent="0.25">
      <c r="A183" t="s">
        <v>358</v>
      </c>
    </row>
    <row r="184" spans="1:1" ht="12.75" customHeight="1" x14ac:dyDescent="0.25">
      <c r="A184" t="s">
        <v>358</v>
      </c>
    </row>
    <row r="185" spans="1:1" ht="12.75" customHeight="1" x14ac:dyDescent="0.25">
      <c r="A185" t="s">
        <v>358</v>
      </c>
    </row>
    <row r="186" spans="1:1" ht="12.75" customHeight="1" x14ac:dyDescent="0.25">
      <c r="A186" t="s">
        <v>358</v>
      </c>
    </row>
    <row r="187" spans="1:1" ht="12.75" customHeight="1" x14ac:dyDescent="0.25"/>
  </sheetData>
  <pageMargins left="0.34" right="0.4" top="0.43" bottom="0.57999999999999996" header="0.32" footer="0.4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14</vt:i4>
      </vt:variant>
    </vt:vector>
  </HeadingPairs>
  <TitlesOfParts>
    <vt:vector size="39" baseType="lpstr">
      <vt:lpstr>Instructions</vt:lpstr>
      <vt:lpstr>TeamInfo</vt:lpstr>
      <vt:lpstr>Previews</vt:lpstr>
      <vt:lpstr>Schedule</vt:lpstr>
      <vt:lpstr>PrayerPartners</vt:lpstr>
      <vt:lpstr>ArrearsMtg</vt:lpstr>
      <vt:lpstr>Attendance</vt:lpstr>
      <vt:lpstr>Prt-Roster</vt:lpstr>
      <vt:lpstr>Prt-Privacy</vt:lpstr>
      <vt:lpstr>Prt-Emergency</vt:lpstr>
      <vt:lpstr>Prep-Mtg#1</vt:lpstr>
      <vt:lpstr>Mtg#1</vt:lpstr>
      <vt:lpstr>Prep-Mtg#2</vt:lpstr>
      <vt:lpstr>Mtg#2</vt:lpstr>
      <vt:lpstr>Prep-Mtg#3</vt:lpstr>
      <vt:lpstr>Mtg#3</vt:lpstr>
      <vt:lpstr>Prep-Mtg#4</vt:lpstr>
      <vt:lpstr>Mtg#4</vt:lpstr>
      <vt:lpstr>Prep-Mtg#5</vt:lpstr>
      <vt:lpstr>Mtg#5</vt:lpstr>
      <vt:lpstr>Prep-Mtg#6</vt:lpstr>
      <vt:lpstr>Mtg#6</vt:lpstr>
      <vt:lpstr>Prep-SatMtg</vt:lpstr>
      <vt:lpstr>SatMtg</vt:lpstr>
      <vt:lpstr>TeamManualInfo</vt:lpstr>
      <vt:lpstr>'Mtg#1'!OLE_LINK1</vt:lpstr>
      <vt:lpstr>Attendance!Print_Area</vt:lpstr>
      <vt:lpstr>'Mtg#1'!Print_Area</vt:lpstr>
      <vt:lpstr>'Mtg#2'!Print_Area</vt:lpstr>
      <vt:lpstr>'Mtg#3'!Print_Area</vt:lpstr>
      <vt:lpstr>'Mtg#4'!Print_Area</vt:lpstr>
      <vt:lpstr>'Mtg#5'!Print_Area</vt:lpstr>
      <vt:lpstr>'Mtg#6'!Print_Area</vt:lpstr>
      <vt:lpstr>'Prep-Mtg#1'!Print_Area</vt:lpstr>
      <vt:lpstr>'Prep-Mtg#2'!Print_Area</vt:lpstr>
      <vt:lpstr>'Prt-Privacy'!Print_Area</vt:lpstr>
      <vt:lpstr>'Prt-Roster'!Print_Area</vt:lpstr>
      <vt:lpstr>SatMtg!Print_Area</vt:lpstr>
      <vt:lpstr>'Prt-Privacy'!Print_Titles</vt:lpstr>
    </vt:vector>
  </TitlesOfParts>
  <Company>AEP-IT-CPS 4/30/3-(8-835-3050)</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AEP</dc:creator>
  <cp:lastModifiedBy>Belinda</cp:lastModifiedBy>
  <cp:lastPrinted>2022-07-22T12:20:57Z</cp:lastPrinted>
  <dcterms:created xsi:type="dcterms:W3CDTF">2007-11-13T17:49:51Z</dcterms:created>
  <dcterms:modified xsi:type="dcterms:W3CDTF">2022-08-22T16:44:54Z</dcterms:modified>
</cp:coreProperties>
</file>